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mand Planner" sheetId="1" state="visible" r:id="rId3"/>
    <sheet name="7-Day Forecast" sheetId="2" state="visible" r:id="rId4"/>
    <sheet name="Batch Scoring" sheetId="3" state="visible" r:id="rId5"/>
    <sheet name="Model Documentation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<sst xmlns="http://schemas.openxmlformats.org/spreadsheetml/2006/main" count="192" uniqueCount="152">
  <si>
    <t xml:space="preserve">FleetPulse Demand Planner</t>
  </si>
  <si>
    <t xml:space="preserve">Enterprise Mobility  |  Branch-Level Demand Forecasting Tool</t>
  </si>
  <si>
    <t xml:space="preserve">Train in Python → Deploy in Excel  |  Simplified Regression Model</t>
  </si>
  <si>
    <t xml:space="preserve">⮕  BRANCH &amp; DATE INPUTS</t>
  </si>
  <si>
    <t xml:space="preserve">⮕  FORECASTING ENGINE</t>
  </si>
  <si>
    <t xml:space="preserve">⮕  INPUT REFERENCE</t>
  </si>
  <si>
    <t xml:space="preserve">Enter values in the blue cells below</t>
  </si>
  <si>
    <t xml:space="preserve">Field</t>
  </si>
  <si>
    <t xml:space="preserve">Valid Range / Notes</t>
  </si>
  <si>
    <t xml:space="preserve">Forecast Component</t>
  </si>
  <si>
    <t xml:space="preserve">Value</t>
  </si>
  <si>
    <t xml:space="preserve">BRANCH_TYPE</t>
  </si>
  <si>
    <t xml:space="preserve">Airport / Downtown / Suburban / College / Highway</t>
  </si>
  <si>
    <t xml:space="preserve">Airport</t>
  </si>
  <si>
    <t xml:space="preserve">Base Demand (from branch type)</t>
  </si>
  <si>
    <t xml:space="preserve">FLEET_CAPACITY</t>
  </si>
  <si>
    <t xml:space="preserve">Max vehicles at this branch (30–200)</t>
  </si>
  <si>
    <t xml:space="preserve">Seasonality Multiplier</t>
  </si>
  <si>
    <t xml:space="preserve">DAY_OF_WEEK</t>
  </si>
  <si>
    <t xml:space="preserve">Monday–Sunday</t>
  </si>
  <si>
    <t xml:space="preserve">Tuesday</t>
  </si>
  <si>
    <t xml:space="preserve">Day-of-Week Multiplier</t>
  </si>
  <si>
    <t xml:space="preserve">MONTH</t>
  </si>
  <si>
    <t xml:space="preserve">1–12</t>
  </si>
  <si>
    <t xml:space="preserve">Holiday Multiplier</t>
  </si>
  <si>
    <t xml:space="preserve">IS_HOLIDAY</t>
  </si>
  <si>
    <t xml:space="preserve">0 = No, 1 = Yes (or holiday-adjacent)</t>
  </si>
  <si>
    <t xml:space="preserve">Event Multiplier</t>
  </si>
  <si>
    <t xml:space="preserve">LOCAL_EVENT</t>
  </si>
  <si>
    <t xml:space="preserve">None / Small / Medium / Large</t>
  </si>
  <si>
    <t xml:space="preserve">None</t>
  </si>
  <si>
    <t xml:space="preserve">Weather Multiplier</t>
  </si>
  <si>
    <t xml:space="preserve">WEATHER_FORECAST</t>
  </si>
  <si>
    <t xml:space="preserve">Clear / Rain / Snow / Severe</t>
  </si>
  <si>
    <t xml:space="preserve">Clear</t>
  </si>
  <si>
    <t xml:space="preserve">Lag Adjustment</t>
  </si>
  <si>
    <t xml:space="preserve">RENTALS_LAST_WEEK</t>
  </si>
  <si>
    <t xml:space="preserve">Rentals at this branch same day last week</t>
  </si>
  <si>
    <t xml:space="preserve">RAW FORECAST</t>
  </si>
  <si>
    <t xml:space="preserve">ROLLING_AVG_7</t>
  </si>
  <si>
    <t xml:space="preserve">Average daily rentals over past 7 days</t>
  </si>
  <si>
    <t xml:space="preserve">ROLLING_AVG_30</t>
  </si>
  <si>
    <t xml:space="preserve">Average daily rentals over past 30 days</t>
  </si>
  <si>
    <t xml:space="preserve">⮕  FLEETPULSE FORECAST</t>
  </si>
  <si>
    <t xml:space="preserve">AVG_DAILY_RATE</t>
  </si>
  <si>
    <t xml:space="preserve">Today’s rental price ($25–$150)</t>
  </si>
  <si>
    <t xml:space="preserve">Predicted Rentals</t>
  </si>
  <si>
    <t xml:space="preserve">YESTERDAY_UTILIZATION</t>
  </si>
  <si>
    <t xml:space="preserve">Yesterday’s rentals / capacity (0–1.0)</t>
  </si>
  <si>
    <t xml:space="preserve">Forecast Range (95% CI)</t>
  </si>
  <si>
    <t xml:space="preserve">Predicted Utilization</t>
  </si>
  <si>
    <t xml:space="preserve">Demand Level</t>
  </si>
  <si>
    <t xml:space="preserve">Stockout Risk</t>
  </si>
  <si>
    <t xml:space="preserve">⮕  RECOMMENDED ACTIONS</t>
  </si>
  <si>
    <t xml:space="preserve">Fleet Action</t>
  </si>
  <si>
    <t xml:space="preserve">Pricing Recommendation</t>
  </si>
  <si>
    <t xml:space="preserve">Staffing</t>
  </si>
  <si>
    <t xml:space="preserve">Vehicle Prep</t>
  </si>
  <si>
    <t xml:space="preserve">How to Use This Tool</t>
  </si>
  <si>
    <t xml:space="preserve">1. Enter branch characteristics and forecast date information in the blue input cells (column C, rows 10–21).</t>
  </si>
  <si>
    <t xml:space="preserve">2. Enter lag values from your branch’s recent history (last week’s rentals, 7-day and 30-day averages, yesterday’s utilization).</t>
  </si>
  <si>
    <t xml:space="preserve">3. The forecast calculates automatically. Review Demand Level, Stockout Risk, and Recommended Actions.</t>
  </si>
  <si>
    <t xml:space="preserve">4. Use the 7-Day Forecast sheet for a full week view, or Batch Scoring for all branches at once.</t>
  </si>
  <si>
    <t xml:space="preserve">Model: Gradient Boosted Regression (MAE ~7 vehicles)  |  Simplified to multiplier model for Excel  |  Retrain quarterly</t>
  </si>
  <si>
    <t xml:space="preserve">FleetPulse 7-Day Branch Forecast  |  Enter branch info in row 3, forecasts auto-populate</t>
  </si>
  <si>
    <t xml:space="preserve">BRANCH_TYPE:</t>
  </si>
  <si>
    <t xml:space="preserve">FLEET_CAPACITY:</t>
  </si>
  <si>
    <t xml:space="preserve">ROLLING_AVG_7:</t>
  </si>
  <si>
    <t xml:space="preserve">ROLLING_AVG_30:</t>
  </si>
  <si>
    <t xml:space="preserve">BASE_RATE:</t>
  </si>
  <si>
    <t xml:space="preserve">Metric</t>
  </si>
  <si>
    <t xml:space="preserve">Monday</t>
  </si>
  <si>
    <t xml:space="preserve">Wednesday</t>
  </si>
  <si>
    <t xml:space="preserve">Thursday</t>
  </si>
  <si>
    <t xml:space="preserve">Friday</t>
  </si>
  <si>
    <t xml:space="preserve">Saturday</t>
  </si>
  <si>
    <t xml:space="preserve">Sunday</t>
  </si>
  <si>
    <t xml:space="preserve">Seasonality (Month=current)</t>
  </si>
  <si>
    <t xml:space="preserve">Base Demand</t>
  </si>
  <si>
    <t xml:space="preserve">FORECAST (vehicles)</t>
  </si>
  <si>
    <t xml:space="preserve">Utilization (%)</t>
  </si>
  <si>
    <t xml:space="preserve">WEEKLY TOTAL FORECAST:</t>
  </si>
  <si>
    <t xml:space="preserve">AVG DAILY FORECAST:</t>
  </si>
  <si>
    <t xml:space="preserve">PEAK DAY:</t>
  </si>
  <si>
    <t xml:space="preserve">FleetPulse Batch Scorer  |  Paste branch data starting in row 3  |  Forecasts auto-calculate in columns N–Q</t>
  </si>
  <si>
    <t xml:space="preserve">BRANCH_ID</t>
  </si>
  <si>
    <t xml:space="preserve">WEATHER</t>
  </si>
  <si>
    <t xml:space="preserve">UTILIZATION_LAG1</t>
  </si>
  <si>
    <t xml:space="preserve">FORECAST</t>
  </si>
  <si>
    <t xml:space="preserve">UTILIZATION_%</t>
  </si>
  <si>
    <t xml:space="preserve">DEMAND_LEVEL</t>
  </si>
  <si>
    <t xml:space="preserve">FLEET_ACTION</t>
  </si>
  <si>
    <t xml:space="preserve">BR-003</t>
  </si>
  <si>
    <t xml:space="preserve">BR-004</t>
  </si>
  <si>
    <t xml:space="preserve">Suburban</t>
  </si>
  <si>
    <t xml:space="preserve">Medium</t>
  </si>
  <si>
    <t xml:space="preserve">BR-005</t>
  </si>
  <si>
    <t xml:space="preserve">College</t>
  </si>
  <si>
    <t xml:space="preserve">Large</t>
  </si>
  <si>
    <t xml:space="preserve">BR-010</t>
  </si>
  <si>
    <t xml:space="preserve">Downtown</t>
  </si>
  <si>
    <t xml:space="preserve">Snow</t>
  </si>
  <si>
    <t xml:space="preserve">BR-021</t>
  </si>
  <si>
    <t xml:space="preserve">Rain</t>
  </si>
  <si>
    <t xml:space="preserve">FleetPulse Model Documentation &amp; Governance</t>
  </si>
  <si>
    <t xml:space="preserve">Model Name</t>
  </si>
  <si>
    <t xml:space="preserve">FleetPulse v1.0 — Branch Demand Forecaster</t>
  </si>
  <si>
    <t xml:space="preserve">Business Owner</t>
  </si>
  <si>
    <t xml:space="preserve">VP of Fleet Operations, Enterprise Mobility</t>
  </si>
  <si>
    <t xml:space="preserve">Model Developer</t>
  </si>
  <si>
    <t xml:space="preserve">[Student Name / Analytics Team]</t>
  </si>
  <si>
    <t xml:space="preserve">Champion Algorithm</t>
  </si>
  <si>
    <t xml:space="preserve">Gradient Boosted Regression (simplified to multiplier model for Excel)</t>
  </si>
  <si>
    <t xml:space="preserve">Validation MAE</t>
  </si>
  <si>
    <t xml:space="preserve">~7 vehicles/branch/day</t>
  </si>
  <si>
    <t xml:space="preserve">Validation RMSE</t>
  </si>
  <si>
    <t xml:space="preserve">~10 vehicles/branch/day</t>
  </si>
  <si>
    <t xml:space="preserve">Validation MAPE</t>
  </si>
  <si>
    <t xml:space="preserve">~12%</t>
  </si>
  <si>
    <t xml:space="preserve">Validation R²</t>
  </si>
  <si>
    <t xml:space="preserve">0.87</t>
  </si>
  <si>
    <t xml:space="preserve">Training Data</t>
  </si>
  <si>
    <t xml:space="preserve">13,700 branch–day records across 25 branches (18 months)</t>
  </si>
  <si>
    <t xml:space="preserve">Target Variable</t>
  </si>
  <si>
    <t xml:space="preserve">RENTALS (continuous integer: daily rental count)</t>
  </si>
  <si>
    <t xml:space="preserve">Forecast Horizon</t>
  </si>
  <si>
    <t xml:space="preserve">7 days ahead (nightly batch run)</t>
  </si>
  <si>
    <t xml:space="preserve">Key Exclusion</t>
  </si>
  <si>
    <t xml:space="preserve">Same-day AVAILABLE_INVENTORY removed (data leakage); uses LAG_1 instead</t>
  </si>
  <si>
    <t xml:space="preserve">Deployment Mode</t>
  </si>
  <si>
    <t xml:space="preserve">Excel demand planner (individual/7-day) + Batch CSV (all branches)</t>
  </si>
  <si>
    <t xml:space="preserve">Retrain Schedule</t>
  </si>
  <si>
    <t xml:space="preserve">Quarterly, or when MAE exceeds 12 vehicles on monitoring data</t>
  </si>
  <si>
    <t xml:space="preserve">Monitoring Metrics</t>
  </si>
  <si>
    <t xml:space="preserve">MAE stability, forecast bias, MAPE by branch type, population stability index</t>
  </si>
  <si>
    <t xml:space="preserve">Ethical Review</t>
  </si>
  <si>
    <t xml:space="preserve">Dynamic pricing impact reviewed quarterly for geographic equity</t>
  </si>
  <si>
    <t xml:space="preserve">Model Limitations</t>
  </si>
  <si>
    <t xml:space="preserve">Simplified from full ensemble; does not capture one-time events without manual override</t>
  </si>
  <si>
    <t xml:space="preserve">Version History</t>
  </si>
  <si>
    <t xml:space="preserve">v1.0 — Initial deployment (Spring 2026)</t>
  </si>
  <si>
    <t xml:space="preserve">Last Updated</t>
  </si>
  <si>
    <t xml:space="preserve">April 2026</t>
  </si>
  <si>
    <t xml:space="preserve">Comparison to ShieldScore Deployment</t>
  </si>
  <si>
    <t xml:space="preserve">ShieldScore (Erie Insurance)</t>
  </si>
  <si>
    <t xml:space="preserve">Classification scorer — predicts RISK CATEGORY (Low/Medium/High/Critical)</t>
  </si>
  <si>
    <t xml:space="preserve">FleetPulse (Enterprise Mobility)</t>
  </si>
  <si>
    <t xml:space="preserve">Regression forecaster — predicts VEHICLE COUNT (continuous number)</t>
  </si>
  <si>
    <t xml:space="preserve">Same framework, different output</t>
  </si>
  <si>
    <t xml:space="preserve">Both use the PAIR framework, BizML lifecycle, and train-in-Python-deploy-in-Excel pattern</t>
  </si>
  <si>
    <t xml:space="preserve">Same deployment lesson</t>
  </si>
  <si>
    <t xml:space="preserve">87% of ML projects never reach production. Both tools exist because a working Excel tool beats a perfect API nobody uses.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</si>
</sst>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"/>
    <numFmt numFmtId="166" formatCode="0"/>
    <numFmt numFmtId="167" formatCode="0.0\%"/>
  </numFmts>
  <fonts count="2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1B2A4A"/>
      <name val="Arial"/>
      <family val="0"/>
      <charset val="1"/>
    </font>
    <font>
      <sz val="12"/>
      <color rgb="FF2A7B88"/>
      <name val="Arial"/>
      <family val="0"/>
      <charset val="1"/>
    </font>
    <font>
      <i val="true"/>
      <sz val="10"/>
      <color rgb="FF999999"/>
      <name val="Arial"/>
      <family val="0"/>
      <charset val="1"/>
    </font>
    <font>
      <b val="true"/>
      <sz val="13"/>
      <color rgb="FF1B2A4A"/>
      <name val="Arial"/>
      <family val="0"/>
      <charset val="1"/>
    </font>
    <font>
      <sz val="10"/>
      <color rgb="FF666666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2D2D2D"/>
      <name val="Arial"/>
      <family val="0"/>
      <charset val="1"/>
    </font>
    <font>
      <sz val="11"/>
      <color rgb="FF0000FF"/>
      <name val="Arial"/>
      <family val="0"/>
      <charset val="1"/>
    </font>
    <font>
      <sz val="11"/>
      <color rgb="FF2D2D2D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2"/>
      <color rgb="FF1B2A4A"/>
      <name val="Arial"/>
      <family val="0"/>
      <charset val="1"/>
    </font>
    <font>
      <b val="true"/>
      <sz val="14"/>
      <color rgb="FF1B2A4A"/>
      <name val="Arial"/>
      <family val="0"/>
      <charset val="1"/>
    </font>
    <font>
      <b val="true"/>
      <sz val="14"/>
      <color rgb="FF2A7B88"/>
      <name val="Arial"/>
      <family val="0"/>
      <charset val="1"/>
    </font>
    <font>
      <b val="true"/>
      <sz val="28"/>
      <color rgb="FF1B2A4A"/>
      <name val="Arial"/>
      <family val="0"/>
      <charset val="1"/>
    </font>
    <font>
      <b val="true"/>
      <sz val="16"/>
      <color rgb="FF2A7B88"/>
      <name val="Arial"/>
      <family val="0"/>
      <charset val="1"/>
    </font>
    <font>
      <b val="true"/>
      <sz val="11"/>
      <color rgb="FF2A7B88"/>
      <name val="Arial"/>
      <family val="0"/>
      <charset val="1"/>
    </font>
    <font>
      <i val="true"/>
      <sz val="9"/>
      <color rgb="FFAAAAAA"/>
      <name val="Arial"/>
      <family val="0"/>
      <charset val="1"/>
    </font>
    <font>
      <sz val="10"/>
      <color rgb="FF2D2D2D"/>
      <name val="Arial"/>
      <family val="0"/>
      <charset val="1"/>
    </font>
    <font>
      <b val="true"/>
      <sz val="12"/>
      <color rgb="FF2A7B88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E8EDF5"/>
        <bgColor rgb="FFE5F2F4"/>
      </patternFill>
    </fill>
    <fill>
      <patternFill patternType="solid">
        <fgColor rgb="FFE5F2F4"/>
        <bgColor rgb="FFE3F2FD"/>
      </patternFill>
    </fill>
    <fill>
      <patternFill patternType="solid">
        <fgColor rgb="FFFDF6E3"/>
        <bgColor rgb="FFFFF8E7"/>
      </patternFill>
    </fill>
    <fill>
      <patternFill patternType="solid">
        <fgColor rgb="FF1B2A4A"/>
        <bgColor rgb="FF2D2D2D"/>
      </patternFill>
    </fill>
    <fill>
      <patternFill patternType="solid">
        <fgColor rgb="FFEEF5FF"/>
        <bgColor rgb="FFE3F2FD"/>
      </patternFill>
    </fill>
    <fill>
      <patternFill patternType="solid">
        <fgColor rgb="FFFFF8E7"/>
        <bgColor rgb="FFFDF6E3"/>
      </patternFill>
    </fill>
    <fill>
      <patternFill patternType="solid">
        <fgColor rgb="FF2A7B88"/>
        <bgColor rgb="FF008080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medium">
        <color rgb="FFD4A843"/>
      </bottom>
      <diagonal/>
    </border>
    <border diagonalUp="false" diagonalDown="false">
      <left style="thin">
        <color rgb="FFCCCCCC"/>
      </left>
      <right style="thin">
        <color rgb="FFCCCCCC"/>
      </right>
      <top style="medium">
        <color rgb="FF1B2A4A"/>
      </top>
      <bottom style="medium">
        <color rgb="FF1B2A4A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4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5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4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4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2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7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9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3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7" fontId="13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3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1" fillId="3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ont>
        <b val="1"/>
        <color rgb="FFC62828"/>
      </font>
      <fill>
        <patternFill>
          <bgColor rgb="FFFDECEC"/>
        </patternFill>
      </fill>
    </dxf>
    <dxf>
      <font>
        <b val="1"/>
        <color rgb="FFE65100"/>
      </font>
      <fill>
        <patternFill>
          <bgColor rgb="FFFFF3E0"/>
        </patternFill>
      </fill>
    </dxf>
    <dxf>
      <font>
        <b val="1"/>
        <color rgb="FF2E7D32"/>
      </font>
      <fill>
        <patternFill>
          <bgColor rgb="FFE8F5E9"/>
        </patternFill>
      </fill>
    </dxf>
    <dxf>
      <font>
        <b val="1"/>
        <color rgb="FF1565C0"/>
      </font>
      <fill>
        <patternFill>
          <bgColor rgb="FFE3F2FD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A7B88"/>
      <rgbColor rgb="FFCCCCCC"/>
      <rgbColor rgb="FF808080"/>
      <rgbColor rgb="FFAAAAAA"/>
      <rgbColor rgb="FF993366"/>
      <rgbColor rgb="FFFDF6E3"/>
      <rgbColor rgb="FFE3F2FD"/>
      <rgbColor rgb="FF660066"/>
      <rgbColor rgb="FFFF8080"/>
      <rgbColor rgb="FF1565C0"/>
      <rgbColor rgb="FFE8EDF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5F2F4"/>
      <rgbColor rgb="FFE8F5E9"/>
      <rgbColor rgb="FFFFF3E0"/>
      <rgbColor rgb="FFEEF5FF"/>
      <rgbColor rgb="FFFFF8E7"/>
      <rgbColor rgb="FFCC99FF"/>
      <rgbColor rgb="FFFDECEC"/>
      <rgbColor rgb="FF3366FF"/>
      <rgbColor rgb="FF33CCCC"/>
      <rgbColor rgb="FF99CC00"/>
      <rgbColor rgb="FFFFCC00"/>
      <rgbColor rgb="FFD4A843"/>
      <rgbColor rgb="FFE65100"/>
      <rgbColor rgb="FF666666"/>
      <rgbColor rgb="FF999999"/>
      <rgbColor rgb="FF1B2A4A"/>
      <rgbColor rgb="FF2E7D32"/>
      <rgbColor rgb="FF003300"/>
      <rgbColor rgb="FF333300"/>
      <rgbColor rgb="FFC62828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A7B88"/>
    <pageSetUpPr fitToPage="false"/>
  </sheetPr>
  <dimension ref="B2:I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30"/>
    <col collapsed="false" customWidth="true" hidden="false" outlineLevel="0" max="3" min="3" style="1" width="22"/>
    <col collapsed="false" customWidth="true" hidden="false" outlineLevel="0" max="4" min="4" style="1" width="4"/>
    <col collapsed="false" customWidth="true" hidden="false" outlineLevel="0" max="5" min="5" style="1" width="30"/>
    <col collapsed="false" customWidth="true" hidden="false" outlineLevel="0" max="6" min="6" style="1" width="22"/>
    <col collapsed="false" customWidth="true" hidden="false" outlineLevel="0" max="7" min="7" style="1" width="3"/>
    <col collapsed="false" customWidth="true" hidden="false" outlineLevel="0" max="8" min="8" style="1" width="30"/>
    <col collapsed="false" customWidth="true" hidden="false" outlineLevel="0" max="9" min="9" style="1" width="40"/>
  </cols>
  <sheetData>
    <row r="2" customFormat="false" ht="21.75" hidden="false" customHeight="true" outlineLevel="0" collapsed="false">
      <c r="B2" s="2" t="s">
        <v>0</v>
      </c>
      <c r="C2" s="2"/>
      <c r="D2" s="2"/>
      <c r="E2" s="2"/>
      <c r="F2" s="2"/>
    </row>
    <row r="3" customFormat="false" ht="15" hidden="false" customHeight="true" outlineLevel="0" collapsed="false">
      <c r="B3" s="3" t="s">
        <v>1</v>
      </c>
      <c r="C3" s="3"/>
      <c r="D3" s="3"/>
      <c r="E3" s="3"/>
      <c r="F3" s="3"/>
    </row>
    <row r="4" customFormat="false" ht="15" hidden="false" customHeight="true" outlineLevel="0" collapsed="false">
      <c r="B4" s="4" t="s">
        <v>2</v>
      </c>
      <c r="C4" s="4"/>
      <c r="D4" s="4"/>
      <c r="E4" s="4"/>
      <c r="F4" s="4"/>
    </row>
    <row r="5" customFormat="false" ht="15" hidden="false" customHeight="true" outlineLevel="0" collapsed="false">
      <c r="B5" s="5"/>
      <c r="C5" s="5"/>
      <c r="D5" s="5"/>
      <c r="E5" s="5"/>
      <c r="F5" s="5"/>
    </row>
    <row r="7" customFormat="false" ht="15.75" hidden="false" customHeight="true" outlineLevel="0" collapsed="false">
      <c r="B7" s="6" t="s">
        <v>3</v>
      </c>
      <c r="C7" s="6"/>
      <c r="E7" s="7" t="s">
        <v>4</v>
      </c>
      <c r="F7" s="7"/>
      <c r="H7" s="8" t="s">
        <v>5</v>
      </c>
      <c r="I7" s="8"/>
    </row>
    <row r="8" customFormat="false" ht="15" hidden="false" customHeight="true" outlineLevel="0" collapsed="false">
      <c r="B8" s="9" t="s">
        <v>6</v>
      </c>
      <c r="C8" s="9"/>
      <c r="H8" s="10" t="s">
        <v>7</v>
      </c>
      <c r="I8" s="10" t="s">
        <v>8</v>
      </c>
    </row>
    <row r="9" customFormat="false" ht="15" hidden="false" customHeight="true" outlineLevel="0" collapsed="false">
      <c r="E9" s="11" t="s">
        <v>9</v>
      </c>
      <c r="F9" s="12" t="s">
        <v>10</v>
      </c>
      <c r="H9" s="13" t="s">
        <v>11</v>
      </c>
      <c r="I9" s="13" t="s">
        <v>12</v>
      </c>
    </row>
    <row r="10" customFormat="false" ht="15" hidden="false" customHeight="true" outlineLevel="0" collapsed="false">
      <c r="B10" s="14" t="s">
        <v>11</v>
      </c>
      <c r="C10" s="15" t="s">
        <v>13</v>
      </c>
      <c r="E10" s="16" t="s">
        <v>14</v>
      </c>
      <c r="F10" s="17" t="n">
        <f aca="false">IF(C10="Airport",C11*0.55,IF(C10="Downtown",C11*0.5,IF(C10="Suburban",C11*0.4,IF(C10="College",C11*0.45,C11*0.35))))</f>
        <v>66</v>
      </c>
      <c r="H10" s="13" t="s">
        <v>15</v>
      </c>
      <c r="I10" s="13" t="s">
        <v>16</v>
      </c>
    </row>
    <row r="11" customFormat="false" ht="15" hidden="false" customHeight="true" outlineLevel="0" collapsed="false">
      <c r="B11" s="14" t="s">
        <v>15</v>
      </c>
      <c r="C11" s="15" t="n">
        <v>120</v>
      </c>
      <c r="E11" s="16" t="s">
        <v>17</v>
      </c>
      <c r="F11" s="17" t="n">
        <f aca="false">1+0.2*SIN((C13-1)/12*2*PI()-PI()/3)</f>
        <v>1.17320508075689</v>
      </c>
      <c r="H11" s="13" t="s">
        <v>18</v>
      </c>
      <c r="I11" s="13" t="s">
        <v>19</v>
      </c>
    </row>
    <row r="12" customFormat="false" ht="15" hidden="false" customHeight="true" outlineLevel="0" collapsed="false">
      <c r="B12" s="14" t="s">
        <v>18</v>
      </c>
      <c r="C12" s="15" t="s">
        <v>20</v>
      </c>
      <c r="E12" s="16" t="s">
        <v>21</v>
      </c>
      <c r="F12" s="17" t="n">
        <f aca="false">IF(C10="Airport",CHOOSE(MATCH(C12,{"Monday","Tuesday","Wednesday","Thursday","Friday","Saturday","Sunday"},0),1.05,1.1,1.08,1.12,1.15,0.75,0.7),IF(C10="Downtown",CHOOSE(MATCH(C12,{"Monday","Tuesday","Wednesday","Thursday","Friday","Saturday","Sunday"},0),1,1.05,1.08,1.05,1.1,0.8,0.65),IF(C10="Suburban",CHOOSE(MATCH(C12,{"Monday","Tuesday","Wednesday","Thursday","Friday","Saturday","Sunday"},0),0.8,0.82,0.85,0.88,1.05,1.25,1.2),IF(C10="College",CHOOSE(MATCH(C12,{"Monday","Tuesday","Wednesday","Thursday","Friday","Saturday","Sunday"},0),0.9,0.92,0.95,1,1.15,1.1,0.95),CHOOSE(MATCH(C12,{"Monday","Tuesday","Wednesday","Thursday","Friday","Saturday","Sunday"},0),0.85,0.85,0.88,0.9,1.1,1.2,1.15)))))</f>
        <v>1.1</v>
      </c>
      <c r="H12" s="13" t="s">
        <v>22</v>
      </c>
      <c r="I12" s="13" t="s">
        <v>23</v>
      </c>
    </row>
    <row r="13" customFormat="false" ht="15" hidden="false" customHeight="true" outlineLevel="0" collapsed="false">
      <c r="B13" s="14" t="s">
        <v>22</v>
      </c>
      <c r="C13" s="15" t="n">
        <v>7</v>
      </c>
      <c r="E13" s="16" t="s">
        <v>24</v>
      </c>
      <c r="F13" s="17" t="n">
        <f aca="false">IF(C14=1,1.2,1)</f>
        <v>1</v>
      </c>
      <c r="H13" s="13" t="s">
        <v>25</v>
      </c>
      <c r="I13" s="13" t="s">
        <v>26</v>
      </c>
    </row>
    <row r="14" customFormat="false" ht="15" hidden="false" customHeight="true" outlineLevel="0" collapsed="false">
      <c r="B14" s="14" t="s">
        <v>25</v>
      </c>
      <c r="C14" s="15" t="n">
        <v>0</v>
      </c>
      <c r="E14" s="16" t="s">
        <v>27</v>
      </c>
      <c r="F14" s="17" t="n">
        <f aca="false">IF(C15="Large",2.2,IF(C15="Medium",1.25,IF(C15="Small",1.08,1)))</f>
        <v>1</v>
      </c>
      <c r="H14" s="13" t="s">
        <v>28</v>
      </c>
      <c r="I14" s="13" t="s">
        <v>29</v>
      </c>
    </row>
    <row r="15" customFormat="false" ht="15" hidden="false" customHeight="true" outlineLevel="0" collapsed="false">
      <c r="B15" s="14" t="s">
        <v>28</v>
      </c>
      <c r="C15" s="15" t="s">
        <v>30</v>
      </c>
      <c r="E15" s="16" t="s">
        <v>31</v>
      </c>
      <c r="F15" s="17" t="n">
        <f aca="false">IF(C10="Airport",1+(IF(C16="Severe",0.6,IF(C16="Snow",0.8,IF(C16="Rain",0.92,1)))-1)*0.3,IF(C16="Severe",0.6,IF(C16="Snow",0.8,IF(C16="Rain",0.92,1))))</f>
        <v>1</v>
      </c>
      <c r="H15" s="13" t="s">
        <v>32</v>
      </c>
      <c r="I15" s="13" t="s">
        <v>33</v>
      </c>
    </row>
    <row r="16" customFormat="false" ht="15" hidden="false" customHeight="true" outlineLevel="0" collapsed="false">
      <c r="B16" s="14" t="s">
        <v>32</v>
      </c>
      <c r="C16" s="15" t="s">
        <v>34</v>
      </c>
      <c r="E16" s="16" t="s">
        <v>35</v>
      </c>
      <c r="F16" s="17" t="n">
        <f aca="false">(C17*0.4+C18*0.35+C19*0.25)/(F10+0.001)*0.3+0.7</f>
        <v>1.0215860365752</v>
      </c>
      <c r="H16" s="13" t="s">
        <v>36</v>
      </c>
      <c r="I16" s="13" t="s">
        <v>37</v>
      </c>
    </row>
    <row r="17" customFormat="false" ht="17.25" hidden="false" customHeight="true" outlineLevel="0" collapsed="false">
      <c r="B17" s="14" t="s">
        <v>36</v>
      </c>
      <c r="C17" s="15" t="n">
        <v>75</v>
      </c>
      <c r="E17" s="18" t="s">
        <v>38</v>
      </c>
      <c r="F17" s="19" t="n">
        <f aca="false">ROUND(MAX(0,MIN(C11*1.1, F10*F11*F12*F13*F14*F15*F16)),0)</f>
        <v>87</v>
      </c>
      <c r="H17" s="13" t="s">
        <v>39</v>
      </c>
      <c r="I17" s="13" t="s">
        <v>40</v>
      </c>
    </row>
    <row r="18" customFormat="false" ht="15" hidden="false" customHeight="true" outlineLevel="0" collapsed="false">
      <c r="B18" s="14" t="s">
        <v>39</v>
      </c>
      <c r="C18" s="15" t="n">
        <v>70</v>
      </c>
      <c r="H18" s="13" t="s">
        <v>41</v>
      </c>
      <c r="I18" s="13" t="s">
        <v>42</v>
      </c>
    </row>
    <row r="19" customFormat="false" ht="15.75" hidden="false" customHeight="true" outlineLevel="0" collapsed="false">
      <c r="B19" s="14" t="s">
        <v>41</v>
      </c>
      <c r="C19" s="15" t="n">
        <v>65</v>
      </c>
      <c r="E19" s="20" t="s">
        <v>43</v>
      </c>
      <c r="F19" s="20"/>
      <c r="H19" s="13" t="s">
        <v>44</v>
      </c>
      <c r="I19" s="13" t="s">
        <v>45</v>
      </c>
    </row>
    <row r="20" customFormat="false" ht="15" hidden="false" customHeight="true" outlineLevel="0" collapsed="false">
      <c r="B20" s="14" t="s">
        <v>44</v>
      </c>
      <c r="C20" s="15" t="n">
        <v>58</v>
      </c>
      <c r="E20" s="21" t="s">
        <v>46</v>
      </c>
      <c r="F20" s="22" t="n">
        <f aca="false">F17</f>
        <v>87</v>
      </c>
      <c r="H20" s="13" t="s">
        <v>47</v>
      </c>
      <c r="I20" s="13" t="s">
        <v>48</v>
      </c>
    </row>
    <row r="21" customFormat="false" ht="15" hidden="false" customHeight="true" outlineLevel="0" collapsed="false">
      <c r="B21" s="14" t="s">
        <v>47</v>
      </c>
      <c r="C21" s="15" t="n">
        <v>0.72</v>
      </c>
      <c r="E21" s="21"/>
      <c r="F21" s="21"/>
    </row>
    <row r="23" customFormat="false" ht="15" hidden="false" customHeight="true" outlineLevel="0" collapsed="false">
      <c r="E23" s="23" t="s">
        <v>49</v>
      </c>
      <c r="F23" s="24" t="str">
        <f aca="false">MAX(0,F17-ROUND(F17*0.12,0))&amp;" – "&amp;(F17+ROUND(F17*0.12,0))&amp;" vehicles"</f>
        <v>77 – 97 vehicles</v>
      </c>
    </row>
    <row r="24" customFormat="false" ht="15" hidden="false" customHeight="true" outlineLevel="0" collapsed="false">
      <c r="E24" s="23" t="s">
        <v>50</v>
      </c>
      <c r="F24" s="24" t="str">
        <f aca="false">ROUND(F17/C11*100,1)&amp;"%"</f>
        <v>72.5%</v>
      </c>
    </row>
    <row r="25" customFormat="false" ht="19.5" hidden="false" customHeight="true" outlineLevel="0" collapsed="false">
      <c r="E25" s="23" t="s">
        <v>51</v>
      </c>
      <c r="F25" s="25" t="str">
        <f aca="false">IF(F17/C11&gt;=0.9,"SURGE",IF(F17/C11&gt;=0.75,"HIGH",IF(F17/C11&gt;=0.5,"NORMAL","LOW")))</f>
        <v>NORMAL</v>
      </c>
    </row>
    <row r="26" customFormat="false" ht="15" hidden="false" customHeight="true" outlineLevel="0" collapsed="false">
      <c r="E26" s="23" t="s">
        <v>52</v>
      </c>
      <c r="F26" s="26" t="str">
        <f aca="false">IF(F17/C11&gt;=0.95,"CRITICAL — Will likely run out of vehicles",IF(F17/C11&gt;=0.85,"HIGH — May need incoming transfers",IF(F17/C11&gt;=0.7,"MODERATE — Monitor closely","LOW — Sufficient inventory expected")))</f>
        <v>MODERATE — Monitor closely</v>
      </c>
    </row>
    <row r="28" customFormat="false" ht="15.75" hidden="false" customHeight="true" outlineLevel="0" collapsed="false">
      <c r="E28" s="7" t="s">
        <v>53</v>
      </c>
      <c r="F28" s="7"/>
    </row>
    <row r="29" customFormat="false" ht="15" hidden="false" customHeight="true" outlineLevel="0" collapsed="false">
      <c r="E29" s="11" t="s">
        <v>54</v>
      </c>
      <c r="F29" s="26" t="str">
        <f aca="false">IF(F17/C11&gt;=0.9,"REQUEST "&amp;ROUND(F17-C11*0.85,0)&amp;" additional vehicles from nearest hub TONIGHT",IF(F17/C11&gt;=0.75,"Consider requesting "&amp;ROUND(F17-C11*0.7,0)&amp;" vehicles; monitor morning bookings",IF(F17/C11&lt;0.4,"Transfer "&amp;ROUND(C11*0.5-F17,0)&amp;" vehicles to higher-demand branch","Hold current fleet — demand matches capacity")))</f>
        <v>Hold current fleet — demand matches capacity</v>
      </c>
    </row>
    <row r="30" customFormat="false" ht="15" hidden="false" customHeight="true" outlineLevel="0" collapsed="false">
      <c r="E30" s="11" t="s">
        <v>55</v>
      </c>
      <c r="F30" s="26" t="str">
        <f aca="false">IF(F17/C11&gt;=0.9,"Increase rate by 15–20% to manage excess demand",IF(F17/C11&gt;=0.75,"Increase rate by 5–10% (moderate demand premium)",IF(F17/C11&lt;0.4,"Decrease rate by 10–15% to stimulate demand","Maintain current pricing")))</f>
        <v>Maintain current pricing</v>
      </c>
    </row>
    <row r="31" customFormat="false" ht="15" hidden="false" customHeight="true" outlineLevel="0" collapsed="false">
      <c r="E31" s="11" t="s">
        <v>56</v>
      </c>
      <c r="F31" s="26" t="str">
        <f aca="false">IF(F17/C11&gt;=0.85,"Add 1–2 counter staff; extend hours if weekend",IF(F17/C11&lt;0.4,"Reduce to minimum staffing","Standard staffing levels"))</f>
        <v>Standard staffing levels</v>
      </c>
    </row>
    <row r="32" customFormat="false" ht="15" hidden="false" customHeight="true" outlineLevel="0" collapsed="false">
      <c r="E32" s="11" t="s">
        <v>57</v>
      </c>
      <c r="F32" s="26" t="str">
        <f aca="false">IF(F17&gt;=50,"Priority: prep "&amp;ROUND(F17*0.3,0)&amp;" midsize + "&amp;ROUND(F17*0.25,0)&amp;" SUVs first","Standard prep rotation")</f>
        <v>Priority: prep 26 midsize + 22 SUVs first</v>
      </c>
    </row>
    <row r="34" customFormat="false" ht="15" hidden="false" customHeight="true" outlineLevel="0" collapsed="false">
      <c r="B34" s="27" t="s">
        <v>58</v>
      </c>
      <c r="C34" s="27"/>
      <c r="D34" s="27"/>
      <c r="E34" s="27"/>
      <c r="F34" s="27"/>
    </row>
    <row r="35" customFormat="false" ht="15" hidden="false" customHeight="true" outlineLevel="0" collapsed="false">
      <c r="B35" s="9" t="s">
        <v>59</v>
      </c>
      <c r="C35" s="9"/>
      <c r="D35" s="9"/>
      <c r="E35" s="9"/>
      <c r="F35" s="9"/>
    </row>
    <row r="36" customFormat="false" ht="15" hidden="false" customHeight="true" outlineLevel="0" collapsed="false">
      <c r="B36" s="9" t="s">
        <v>60</v>
      </c>
      <c r="C36" s="9"/>
      <c r="D36" s="9"/>
      <c r="E36" s="9"/>
      <c r="F36" s="9"/>
    </row>
    <row r="37" customFormat="false" ht="15" hidden="false" customHeight="true" outlineLevel="0" collapsed="false">
      <c r="B37" s="9" t="s">
        <v>61</v>
      </c>
      <c r="C37" s="9"/>
      <c r="D37" s="9"/>
      <c r="E37" s="9"/>
      <c r="F37" s="9"/>
    </row>
    <row r="38" customFormat="false" ht="15" hidden="false" customHeight="true" outlineLevel="0" collapsed="false">
      <c r="B38" s="9" t="s">
        <v>62</v>
      </c>
      <c r="C38" s="9"/>
      <c r="D38" s="9"/>
      <c r="E38" s="9"/>
      <c r="F38" s="9"/>
    </row>
    <row r="40" customFormat="false" ht="15" hidden="false" customHeight="true" outlineLevel="0" collapsed="false">
      <c r="B40" s="28" t="s">
        <v>63</v>
      </c>
      <c r="C40" s="28"/>
      <c r="D40" s="28"/>
      <c r="E40" s="28"/>
      <c r="F40" s="28"/>
    </row>
  </sheetData>
  <mergeCells count="17">
    <mergeCell ref="B2:F2"/>
    <mergeCell ref="B3:F3"/>
    <mergeCell ref="B4:F4"/>
    <mergeCell ref="B7:C7"/>
    <mergeCell ref="E7:F7"/>
    <mergeCell ref="H7:I7"/>
    <mergeCell ref="B8:C8"/>
    <mergeCell ref="E19:F19"/>
    <mergeCell ref="E20:E21"/>
    <mergeCell ref="F20:F21"/>
    <mergeCell ref="E28:F28"/>
    <mergeCell ref="B34:F34"/>
    <mergeCell ref="B35:F35"/>
    <mergeCell ref="B36:F36"/>
    <mergeCell ref="B37:F37"/>
    <mergeCell ref="B38:F38"/>
    <mergeCell ref="B40:F40"/>
  </mergeCells>
  <conditionalFormatting sqref="F25">
    <cfRule type="expression" priority="2" aboveAverage="0" equalAverage="0" bottom="0" percent="0" rank="0" text="" dxfId="0">
      <formula>F25="SURGE"</formula>
    </cfRule>
    <cfRule type="expression" priority="3" aboveAverage="0" equalAverage="0" bottom="0" percent="0" rank="0" text="" dxfId="1">
      <formula>F25="HIGH"</formula>
    </cfRule>
    <cfRule type="expression" priority="4" aboveAverage="0" equalAverage="0" bottom="0" percent="0" rank="0" text="" dxfId="2">
      <formula>F25="NORMAL"</formula>
    </cfRule>
    <cfRule type="expression" priority="5" aboveAverage="0" equalAverage="0" bottom="0" percent="0" rank="0" text="" dxfId="3">
      <formula>F25="LOW"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B2A4A"/>
    <pageSetUpPr fitToPage="false"/>
  </sheetPr>
  <dimension ref="A1:J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8" min="1" style="1" width="16"/>
  </cols>
  <sheetData>
    <row r="1" customFormat="false" ht="15" hidden="false" customHeight="true" outlineLevel="0" collapsed="false">
      <c r="A1" s="29" t="s">
        <v>64</v>
      </c>
      <c r="B1" s="29"/>
      <c r="C1" s="29"/>
      <c r="D1" s="29"/>
      <c r="E1" s="29"/>
      <c r="F1" s="29"/>
      <c r="G1" s="29"/>
      <c r="H1" s="29"/>
      <c r="I1" s="29"/>
      <c r="J1" s="29"/>
    </row>
    <row r="3" customFormat="false" ht="15" hidden="false" customHeight="true" outlineLevel="0" collapsed="false">
      <c r="A3" s="30" t="s">
        <v>65</v>
      </c>
      <c r="B3" s="15" t="s">
        <v>13</v>
      </c>
      <c r="C3" s="30" t="s">
        <v>66</v>
      </c>
      <c r="D3" s="15" t="n">
        <v>120</v>
      </c>
      <c r="E3" s="30" t="s">
        <v>67</v>
      </c>
      <c r="F3" s="15" t="n">
        <v>70</v>
      </c>
      <c r="G3" s="30" t="s">
        <v>68</v>
      </c>
      <c r="H3" s="15" t="n">
        <v>65</v>
      </c>
      <c r="I3" s="30" t="s">
        <v>69</v>
      </c>
      <c r="J3" s="15" t="n">
        <v>58</v>
      </c>
    </row>
    <row r="5" customFormat="false" ht="15" hidden="false" customHeight="true" outlineLevel="0" collapsed="false">
      <c r="A5" s="31" t="s">
        <v>70</v>
      </c>
      <c r="B5" s="31" t="s">
        <v>71</v>
      </c>
      <c r="C5" s="31" t="s">
        <v>20</v>
      </c>
      <c r="D5" s="31" t="s">
        <v>72</v>
      </c>
      <c r="E5" s="31" t="s">
        <v>73</v>
      </c>
      <c r="F5" s="31" t="s">
        <v>74</v>
      </c>
      <c r="G5" s="31" t="s">
        <v>75</v>
      </c>
      <c r="H5" s="31" t="s">
        <v>76</v>
      </c>
    </row>
    <row r="6" customFormat="false" ht="15" hidden="false" customHeight="true" outlineLevel="0" collapsed="false">
      <c r="A6" s="23" t="s">
        <v>21</v>
      </c>
      <c r="B6" s="17" t="n">
        <f aca="false">IF($B$3="Airport",CHOOSE(1,1.05,1.1,1.08,1.12,1.15,0.75,0.7),IF($B$3="Downtown",CHOOSE(1,1,1.05,1.08,1.05,1.1,0.8,0.65),IF($B$3="Suburban",CHOOSE(1,0.8,0.82,0.85,0.88,1.05,1.25,1.2),IF($B$3="College",CHOOSE(1,0.9,0.92,0.95,1,1.15,1.1,0.95),CHOOSE(1,0.85,0.85,0.88,0.9,1.1,1.2,1.15)))))</f>
        <v>1.05</v>
      </c>
      <c r="C6" s="17" t="n">
        <f aca="false">IF($B$3="Airport",CHOOSE(2,1.05,1.1,1.08,1.12,1.15,0.75,0.7),IF($B$3="Downtown",CHOOSE(2,1,1.05,1.08,1.05,1.1,0.8,0.65),IF($B$3="Suburban",CHOOSE(2,0.8,0.82,0.85,0.88,1.05,1.25,1.2),IF($B$3="College",CHOOSE(2,0.9,0.92,0.95,1,1.15,1.1,0.95),CHOOSE(2,0.85,0.85,0.88,0.9,1.1,1.2,1.15)))))</f>
        <v>1.1</v>
      </c>
      <c r="D6" s="17" t="n">
        <f aca="false">IF($B$3="Airport",CHOOSE(3,1.05,1.1,1.08,1.12,1.15,0.75,0.7),IF($B$3="Downtown",CHOOSE(3,1,1.05,1.08,1.05,1.1,0.8,0.65),IF($B$3="Suburban",CHOOSE(3,0.8,0.82,0.85,0.88,1.05,1.25,1.2),IF($B$3="College",CHOOSE(3,0.9,0.92,0.95,1,1.15,1.1,0.95),CHOOSE(3,0.85,0.85,0.88,0.9,1.1,1.2,1.15)))))</f>
        <v>1.08</v>
      </c>
      <c r="E6" s="17" t="n">
        <f aca="false">IF($B$3="Airport",CHOOSE(4,1.05,1.1,1.08,1.12,1.15,0.75,0.7),IF($B$3="Downtown",CHOOSE(4,1,1.05,1.08,1.05,1.1,0.8,0.65),IF($B$3="Suburban",CHOOSE(4,0.8,0.82,0.85,0.88,1.05,1.25,1.2),IF($B$3="College",CHOOSE(4,0.9,0.92,0.95,1,1.15,1.1,0.95),CHOOSE(4,0.85,0.85,0.88,0.9,1.1,1.2,1.15)))))</f>
        <v>1.12</v>
      </c>
      <c r="F6" s="17" t="n">
        <f aca="false">IF($B$3="Airport",CHOOSE(5,1.05,1.1,1.08,1.12,1.15,0.75,0.7),IF($B$3="Downtown",CHOOSE(5,1,1.05,1.08,1.05,1.1,0.8,0.65),IF($B$3="Suburban",CHOOSE(5,0.8,0.82,0.85,0.88,1.05,1.25,1.2),IF($B$3="College",CHOOSE(5,0.9,0.92,0.95,1,1.15,1.1,0.95),CHOOSE(5,0.85,0.85,0.88,0.9,1.1,1.2,1.15)))))</f>
        <v>1.15</v>
      </c>
      <c r="G6" s="17" t="n">
        <f aca="false">IF($B$3="Airport",CHOOSE(6,1.05,1.1,1.08,1.12,1.15,0.75,0.7),IF($B$3="Downtown",CHOOSE(6,1,1.05,1.08,1.05,1.1,0.8,0.65),IF($B$3="Suburban",CHOOSE(6,0.8,0.82,0.85,0.88,1.05,1.25,1.2),IF($B$3="College",CHOOSE(6,0.9,0.92,0.95,1,1.15,1.1,0.95),CHOOSE(6,0.85,0.85,0.88,0.9,1.1,1.2,1.15)))))</f>
        <v>0.75</v>
      </c>
      <c r="H6" s="17" t="n">
        <f aca="false">IF($B$3="Airport",CHOOSE(7,1.05,1.1,1.08,1.12,1.15,0.75,0.7),IF($B$3="Downtown",CHOOSE(7,1,1.05,1.08,1.05,1.1,0.8,0.65),IF($B$3="Suburban",CHOOSE(7,0.8,0.82,0.85,0.88,1.05,1.25,1.2),IF($B$3="College",CHOOSE(7,0.9,0.92,0.95,1,1.15,1.1,0.95),CHOOSE(7,0.85,0.85,0.88,0.9,1.1,1.2,1.15)))))</f>
        <v>0.7</v>
      </c>
    </row>
    <row r="7" customFormat="false" ht="15" hidden="false" customHeight="true" outlineLevel="0" collapsed="false">
      <c r="A7" s="23" t="s">
        <v>77</v>
      </c>
      <c r="B7" s="17" t="n">
        <f aca="true">1+0.2*SIN((MONTH(TODAY())-1)/12*2*PI()-PI()/3)</f>
        <v>1.1</v>
      </c>
      <c r="C7" s="17" t="n">
        <f aca="true">1+0.2*SIN((MONTH(TODAY())-1)/12*2*PI()-PI()/3)</f>
        <v>1.1</v>
      </c>
      <c r="D7" s="17" t="n">
        <f aca="true">1+0.2*SIN((MONTH(TODAY())-1)/12*2*PI()-PI()/3)</f>
        <v>1.1</v>
      </c>
      <c r="E7" s="17" t="n">
        <f aca="true">1+0.2*SIN((MONTH(TODAY())-1)/12*2*PI()-PI()/3)</f>
        <v>1.1</v>
      </c>
      <c r="F7" s="17" t="n">
        <f aca="true">1+0.2*SIN((MONTH(TODAY())-1)/12*2*PI()-PI()/3)</f>
        <v>1.1</v>
      </c>
      <c r="G7" s="17" t="n">
        <f aca="true">1+0.2*SIN((MONTH(TODAY())-1)/12*2*PI()-PI()/3)</f>
        <v>1.1</v>
      </c>
      <c r="H7" s="17" t="n">
        <f aca="true">1+0.2*SIN((MONTH(TODAY())-1)/12*2*PI()-PI()/3)</f>
        <v>1.1</v>
      </c>
    </row>
    <row r="8" customFormat="false" ht="15" hidden="false" customHeight="true" outlineLevel="0" collapsed="false">
      <c r="A8" s="23" t="s">
        <v>78</v>
      </c>
      <c r="B8" s="32" t="n">
        <f aca="false">IF($B$3="Airport",$D$3*0.55,IF($B$3="Downtown",$D$3*0.5,IF($B$3="Suburban",$D$3*0.4,IF($B$3="College",$D$3*0.45,$D$3*0.35))))</f>
        <v>66</v>
      </c>
      <c r="C8" s="32" t="n">
        <f aca="false">IF($B$3="Airport",$D$3*0.55,IF($B$3="Downtown",$D$3*0.5,IF($B$3="Suburban",$D$3*0.4,IF($B$3="College",$D$3*0.45,$D$3*0.35))))</f>
        <v>66</v>
      </c>
      <c r="D8" s="32" t="n">
        <f aca="false">IF($B$3="Airport",$D$3*0.55,IF($B$3="Downtown",$D$3*0.5,IF($B$3="Suburban",$D$3*0.4,IF($B$3="College",$D$3*0.45,$D$3*0.35))))</f>
        <v>66</v>
      </c>
      <c r="E8" s="32" t="n">
        <f aca="false">IF($B$3="Airport",$D$3*0.55,IF($B$3="Downtown",$D$3*0.5,IF($B$3="Suburban",$D$3*0.4,IF($B$3="College",$D$3*0.45,$D$3*0.35))))</f>
        <v>66</v>
      </c>
      <c r="F8" s="32" t="n">
        <f aca="false">IF($B$3="Airport",$D$3*0.55,IF($B$3="Downtown",$D$3*0.5,IF($B$3="Suburban",$D$3*0.4,IF($B$3="College",$D$3*0.45,$D$3*0.35))))</f>
        <v>66</v>
      </c>
      <c r="G8" s="32" t="n">
        <f aca="false">IF($B$3="Airport",$D$3*0.55,IF($B$3="Downtown",$D$3*0.5,IF($B$3="Suburban",$D$3*0.4,IF($B$3="College",$D$3*0.45,$D$3*0.35))))</f>
        <v>66</v>
      </c>
      <c r="H8" s="32" t="n">
        <f aca="false">IF($B$3="Airport",$D$3*0.55,IF($B$3="Downtown",$D$3*0.5,IF($B$3="Suburban",$D$3*0.4,IF($B$3="College",$D$3*0.45,$D$3*0.35))))</f>
        <v>66</v>
      </c>
    </row>
    <row r="9" customFormat="false" ht="15" hidden="false" customHeight="true" outlineLevel="0" collapsed="false">
      <c r="A9" s="33" t="s">
        <v>79</v>
      </c>
      <c r="B9" s="34" t="n">
        <f aca="false">ROUND(MAX(0,MIN($D$3*1.1,B8*B7*B6*($F$3*0.4+$F$3*0.35+$H$3*0.25)/(B8+0.001)*0.3+0.7)),0)</f>
        <v>25</v>
      </c>
      <c r="C9" s="34" t="n">
        <f aca="false">ROUND(MAX(0,MIN($D$3*1.1,C8*C7*C6*($F$3*0.4+$F$3*0.35+$H$3*0.25)/(C8+0.001)*0.3+0.7)),0)</f>
        <v>26</v>
      </c>
      <c r="D9" s="34" t="n">
        <f aca="false">ROUND(MAX(0,MIN($D$3*1.1,D8*D7*D6*($F$3*0.4+$F$3*0.35+$H$3*0.25)/(D8+0.001)*0.3+0.7)),0)</f>
        <v>25</v>
      </c>
      <c r="E9" s="34" t="n">
        <f aca="false">ROUND(MAX(0,MIN($D$3*1.1,E8*E7*E6*($F$3*0.4+$F$3*0.35+$H$3*0.25)/(E8+0.001)*0.3+0.7)),0)</f>
        <v>26</v>
      </c>
      <c r="F9" s="34" t="n">
        <f aca="false">ROUND(MAX(0,MIN($D$3*1.1,F8*F7*F6*($F$3*0.4+$F$3*0.35+$H$3*0.25)/(F8+0.001)*0.3+0.7)),0)</f>
        <v>27</v>
      </c>
      <c r="G9" s="34" t="n">
        <f aca="false">ROUND(MAX(0,MIN($D$3*1.1,G8*G7*G6*($F$3*0.4+$F$3*0.35+$H$3*0.25)/(G8+0.001)*0.3+0.7)),0)</f>
        <v>18</v>
      </c>
      <c r="H9" s="34" t="n">
        <f aca="false">ROUND(MAX(0,MIN($D$3*1.1,H8*H7*H6*($F$3*0.4+$F$3*0.35+$H$3*0.25)/(H8+0.001)*0.3+0.7)),0)</f>
        <v>17</v>
      </c>
    </row>
    <row r="10" customFormat="false" ht="15" hidden="false" customHeight="true" outlineLevel="0" collapsed="false">
      <c r="A10" s="23" t="s">
        <v>80</v>
      </c>
      <c r="B10" s="35" t="n">
        <f aca="false">ROUND(B9/$D$3*100,1)</f>
        <v>20.8</v>
      </c>
      <c r="C10" s="35" t="n">
        <f aca="false">ROUND(C9/$D$3*100,1)</f>
        <v>21.7</v>
      </c>
      <c r="D10" s="35" t="n">
        <f aca="false">ROUND(D9/$D$3*100,1)</f>
        <v>20.8</v>
      </c>
      <c r="E10" s="35" t="n">
        <f aca="false">ROUND(E9/$D$3*100,1)</f>
        <v>21.7</v>
      </c>
      <c r="F10" s="35" t="n">
        <f aca="false">ROUND(F9/$D$3*100,1)</f>
        <v>22.5</v>
      </c>
      <c r="G10" s="35" t="n">
        <f aca="false">ROUND(G9/$D$3*100,1)</f>
        <v>15</v>
      </c>
      <c r="H10" s="35" t="n">
        <f aca="false">ROUND(H9/$D$3*100,1)</f>
        <v>14.2</v>
      </c>
    </row>
    <row r="11" customFormat="false" ht="15" hidden="false" customHeight="true" outlineLevel="0" collapsed="false">
      <c r="A11" s="23" t="s">
        <v>51</v>
      </c>
      <c r="B11" s="36" t="str">
        <f aca="false">IF(B9/$D$3&gt;=0.9,"SURGE",IF(B9/$D$3&gt;=0.75,"HIGH",IF(B9/$D$3&gt;=0.5,"NORMAL","LOW")))</f>
        <v>LOW</v>
      </c>
      <c r="C11" s="36" t="str">
        <f aca="false">IF(C9/$D$3&gt;=0.9,"SURGE",IF(C9/$D$3&gt;=0.75,"HIGH",IF(C9/$D$3&gt;=0.5,"NORMAL","LOW")))</f>
        <v>LOW</v>
      </c>
      <c r="D11" s="36" t="str">
        <f aca="false">IF(D9/$D$3&gt;=0.9,"SURGE",IF(D9/$D$3&gt;=0.75,"HIGH",IF(D9/$D$3&gt;=0.5,"NORMAL","LOW")))</f>
        <v>LOW</v>
      </c>
      <c r="E11" s="36" t="str">
        <f aca="false">IF(E9/$D$3&gt;=0.9,"SURGE",IF(E9/$D$3&gt;=0.75,"HIGH",IF(E9/$D$3&gt;=0.5,"NORMAL","LOW")))</f>
        <v>LOW</v>
      </c>
      <c r="F11" s="36" t="str">
        <f aca="false">IF(F9/$D$3&gt;=0.9,"SURGE",IF(F9/$D$3&gt;=0.75,"HIGH",IF(F9/$D$3&gt;=0.5,"NORMAL","LOW")))</f>
        <v>LOW</v>
      </c>
      <c r="G11" s="36" t="str">
        <f aca="false">IF(G9/$D$3&gt;=0.9,"SURGE",IF(G9/$D$3&gt;=0.75,"HIGH",IF(G9/$D$3&gt;=0.5,"NORMAL","LOW")))</f>
        <v>LOW</v>
      </c>
      <c r="H11" s="36" t="str">
        <f aca="false">IF(H9/$D$3&gt;=0.9,"SURGE",IF(H9/$D$3&gt;=0.75,"HIGH",IF(H9/$D$3&gt;=0.5,"NORMAL","LOW")))</f>
        <v>LOW</v>
      </c>
    </row>
    <row r="12" customFormat="false" ht="15" hidden="false" customHeight="true" outlineLevel="0" collapsed="false">
      <c r="A12" s="23" t="s">
        <v>54</v>
      </c>
      <c r="B12" s="37" t="str">
        <f aca="false">IF(B9/$D$3&gt;=0.9,"Request +"&amp;ROUND(B9-$D$3*0.85,0)&amp;" vehicles",IF(B9/$D$3&lt;0.4,"Transfer out "&amp;ROUND($D$3*0.5-B9,0),"Hold steady"))</f>
        <v>Transfer out 35</v>
      </c>
      <c r="C12" s="37" t="str">
        <f aca="false">IF(C9/$D$3&gt;=0.9,"Request +"&amp;ROUND(C9-$D$3*0.85,0)&amp;" vehicles",IF(C9/$D$3&lt;0.4,"Transfer out "&amp;ROUND($D$3*0.5-C9,0),"Hold steady"))</f>
        <v>Transfer out 34</v>
      </c>
      <c r="D12" s="37" t="str">
        <f aca="false">IF(D9/$D$3&gt;=0.9,"Request +"&amp;ROUND(D9-$D$3*0.85,0)&amp;" vehicles",IF(D9/$D$3&lt;0.4,"Transfer out "&amp;ROUND($D$3*0.5-D9,0),"Hold steady"))</f>
        <v>Transfer out 35</v>
      </c>
      <c r="E12" s="37" t="str">
        <f aca="false">IF(E9/$D$3&gt;=0.9,"Request +"&amp;ROUND(E9-$D$3*0.85,0)&amp;" vehicles",IF(E9/$D$3&lt;0.4,"Transfer out "&amp;ROUND($D$3*0.5-E9,0),"Hold steady"))</f>
        <v>Transfer out 34</v>
      </c>
      <c r="F12" s="37" t="str">
        <f aca="false">IF(F9/$D$3&gt;=0.9,"Request +"&amp;ROUND(F9-$D$3*0.85,0)&amp;" vehicles",IF(F9/$D$3&lt;0.4,"Transfer out "&amp;ROUND($D$3*0.5-F9,0),"Hold steady"))</f>
        <v>Transfer out 33</v>
      </c>
      <c r="G12" s="37" t="str">
        <f aca="false">IF(G9/$D$3&gt;=0.9,"Request +"&amp;ROUND(G9-$D$3*0.85,0)&amp;" vehicles",IF(G9/$D$3&lt;0.4,"Transfer out "&amp;ROUND($D$3*0.5-G9,0),"Hold steady"))</f>
        <v>Transfer out 42</v>
      </c>
      <c r="H12" s="37" t="str">
        <f aca="false">IF(H9/$D$3&gt;=0.9,"Request +"&amp;ROUND(H9-$D$3*0.85,0)&amp;" vehicles",IF(H9/$D$3&lt;0.4,"Transfer out "&amp;ROUND($D$3*0.5-H9,0),"Hold steady"))</f>
        <v>Transfer out 43</v>
      </c>
    </row>
    <row r="14" customFormat="false" ht="15" hidden="false" customHeight="true" outlineLevel="0" collapsed="false">
      <c r="A14" s="38" t="s">
        <v>81</v>
      </c>
      <c r="B14" s="39" t="str">
        <f aca="false">SUM(B9:H9)&amp;" vehicles across 7 days"</f>
        <v>164 vehicles across 7 days</v>
      </c>
      <c r="C14" s="39"/>
    </row>
    <row r="15" customFormat="false" ht="15" hidden="false" customHeight="true" outlineLevel="0" collapsed="false">
      <c r="A15" s="30" t="s">
        <v>82</v>
      </c>
      <c r="B15" s="40" t="str">
        <f aca="false">ROUND(SUM(B9:H9)/7,0)&amp;" vehicles/day"</f>
        <v>23 vehicles/day</v>
      </c>
      <c r="C15" s="40"/>
    </row>
    <row r="16" customFormat="false" ht="15" hidden="false" customHeight="true" outlineLevel="0" collapsed="false">
      <c r="A16" s="30" t="s">
        <v>83</v>
      </c>
      <c r="B16" s="40" t="str">
        <f aca="false">INDEX(B5:H5,MATCH(MAX(B9:H9),B9:H9,0))&amp;" ("&amp;MAX(B9:H9)&amp;" vehicles)"</f>
        <v>Friday (27 vehicles)</v>
      </c>
      <c r="C16" s="40"/>
    </row>
  </sheetData>
  <mergeCells count="4">
    <mergeCell ref="A1:J1"/>
    <mergeCell ref="B14:C14"/>
    <mergeCell ref="B15:C15"/>
    <mergeCell ref="B16:C16"/>
  </mergeCells>
  <conditionalFormatting sqref="B11">
    <cfRule type="expression" priority="2" aboveAverage="0" equalAverage="0" bottom="0" percent="0" rank="0" text="" dxfId="0">
      <formula>B11="SURGE"</formula>
    </cfRule>
    <cfRule type="expression" priority="3" aboveAverage="0" equalAverage="0" bottom="0" percent="0" rank="0" text="" dxfId="1">
      <formula>B11="HIGH"</formula>
    </cfRule>
    <cfRule type="expression" priority="4" aboveAverage="0" equalAverage="0" bottom="0" percent="0" rank="0" text="" dxfId="2">
      <formula>B11="NORMAL"</formula>
    </cfRule>
    <cfRule type="expression" priority="5" aboveAverage="0" equalAverage="0" bottom="0" percent="0" rank="0" text="" dxfId="3">
      <formula>B11="LOW"</formula>
    </cfRule>
  </conditionalFormatting>
  <conditionalFormatting sqref="C11">
    <cfRule type="expression" priority="6" aboveAverage="0" equalAverage="0" bottom="0" percent="0" rank="0" text="" dxfId="0">
      <formula>C11="SURGE"</formula>
    </cfRule>
    <cfRule type="expression" priority="7" aboveAverage="0" equalAverage="0" bottom="0" percent="0" rank="0" text="" dxfId="1">
      <formula>C11="HIGH"</formula>
    </cfRule>
    <cfRule type="expression" priority="8" aboveAverage="0" equalAverage="0" bottom="0" percent="0" rank="0" text="" dxfId="2">
      <formula>C11="NORMAL"</formula>
    </cfRule>
    <cfRule type="expression" priority="9" aboveAverage="0" equalAverage="0" bottom="0" percent="0" rank="0" text="" dxfId="3">
      <formula>C11="LOW"</formula>
    </cfRule>
  </conditionalFormatting>
  <conditionalFormatting sqref="D11">
    <cfRule type="expression" priority="10" aboveAverage="0" equalAverage="0" bottom="0" percent="0" rank="0" text="" dxfId="0">
      <formula>D11="SURGE"</formula>
    </cfRule>
    <cfRule type="expression" priority="11" aboveAverage="0" equalAverage="0" bottom="0" percent="0" rank="0" text="" dxfId="1">
      <formula>D11="HIGH"</formula>
    </cfRule>
    <cfRule type="expression" priority="12" aboveAverage="0" equalAverage="0" bottom="0" percent="0" rank="0" text="" dxfId="2">
      <formula>D11="NORMAL"</formula>
    </cfRule>
    <cfRule type="expression" priority="13" aboveAverage="0" equalAverage="0" bottom="0" percent="0" rank="0" text="" dxfId="3">
      <formula>D11="LOW"</formula>
    </cfRule>
  </conditionalFormatting>
  <conditionalFormatting sqref="E11">
    <cfRule type="expression" priority="14" aboveAverage="0" equalAverage="0" bottom="0" percent="0" rank="0" text="" dxfId="0">
      <formula>E11="SURGE"</formula>
    </cfRule>
    <cfRule type="expression" priority="15" aboveAverage="0" equalAverage="0" bottom="0" percent="0" rank="0" text="" dxfId="1">
      <formula>E11="HIGH"</formula>
    </cfRule>
    <cfRule type="expression" priority="16" aboveAverage="0" equalAverage="0" bottom="0" percent="0" rank="0" text="" dxfId="2">
      <formula>E11="NORMAL"</formula>
    </cfRule>
    <cfRule type="expression" priority="17" aboveAverage="0" equalAverage="0" bottom="0" percent="0" rank="0" text="" dxfId="3">
      <formula>E11="LOW"</formula>
    </cfRule>
  </conditionalFormatting>
  <conditionalFormatting sqref="F11">
    <cfRule type="expression" priority="18" aboveAverage="0" equalAverage="0" bottom="0" percent="0" rank="0" text="" dxfId="0">
      <formula>F11="SURGE"</formula>
    </cfRule>
    <cfRule type="expression" priority="19" aboveAverage="0" equalAverage="0" bottom="0" percent="0" rank="0" text="" dxfId="1">
      <formula>F11="HIGH"</formula>
    </cfRule>
    <cfRule type="expression" priority="20" aboveAverage="0" equalAverage="0" bottom="0" percent="0" rank="0" text="" dxfId="2">
      <formula>F11="NORMAL"</formula>
    </cfRule>
    <cfRule type="expression" priority="21" aboveAverage="0" equalAverage="0" bottom="0" percent="0" rank="0" text="" dxfId="3">
      <formula>F11="LOW"</formula>
    </cfRule>
  </conditionalFormatting>
  <conditionalFormatting sqref="G11">
    <cfRule type="expression" priority="22" aboveAverage="0" equalAverage="0" bottom="0" percent="0" rank="0" text="" dxfId="0">
      <formula>G11="SURGE"</formula>
    </cfRule>
    <cfRule type="expression" priority="23" aboveAverage="0" equalAverage="0" bottom="0" percent="0" rank="0" text="" dxfId="1">
      <formula>G11="HIGH"</formula>
    </cfRule>
    <cfRule type="expression" priority="24" aboveAverage="0" equalAverage="0" bottom="0" percent="0" rank="0" text="" dxfId="2">
      <formula>G11="NORMAL"</formula>
    </cfRule>
    <cfRule type="expression" priority="25" aboveAverage="0" equalAverage="0" bottom="0" percent="0" rank="0" text="" dxfId="3">
      <formula>G11="LOW"</formula>
    </cfRule>
  </conditionalFormatting>
  <conditionalFormatting sqref="H11">
    <cfRule type="expression" priority="26" aboveAverage="0" equalAverage="0" bottom="0" percent="0" rank="0" text="" dxfId="0">
      <formula>H11="SURGE"</formula>
    </cfRule>
    <cfRule type="expression" priority="27" aboveAverage="0" equalAverage="0" bottom="0" percent="0" rank="0" text="" dxfId="1">
      <formula>H11="HIGH"</formula>
    </cfRule>
    <cfRule type="expression" priority="28" aboveAverage="0" equalAverage="0" bottom="0" percent="0" rank="0" text="" dxfId="2">
      <formula>H11="NORMAL"</formula>
    </cfRule>
    <cfRule type="expression" priority="29" aboveAverage="0" equalAverage="0" bottom="0" percent="0" rank="0" text="" dxfId="3">
      <formula>H11="LOW"</formula>
    </cfRule>
  </conditionalFormatting>
  <conditionalFormatting sqref="B9:H9">
    <cfRule type="dataBar" priority="30">
      <dataBar showValue="1" minLength="10" maxLength="90">
        <cfvo type="num" val="0"/>
        <cfvo type="num" val="200"/>
        <color rgb="FF2A7B88"/>
      </dataBar>
      <extLst>
        <ext xmlns:x14="http://schemas.microsoft.com/office/spreadsheetml/2009/9/main" uri="{B025F937-C7B1-47D3-B67F-A62EFF666E3E}">
          <x14:id>{E59885A8-6067-40ED-9067-2ABDED1D43F0}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59885A8-6067-40ED-9067-2ABDED1D43F0}">
            <x14:dataBar minLength="10" maxLength="90" axisPosition="none" gradient="true">
              <x14:cfvo type="num">
                <xm:f>0</xm:f>
              </x14:cfvo>
              <x14:cfvo type="num">
                <xm:f>200</xm:f>
              </x14:cfvo>
              <x14:negativeFillColor rgb="FF2A7B88"/>
              <x14:axisColor rgb="FF000000"/>
            </x14:dataBar>
          </x14:cfRule>
          <xm:sqref>B9:H9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4A843"/>
    <pageSetUpPr fitToPage="false"/>
  </sheetPr>
  <dimension ref="A1:Q10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3" min="1" style="1" width="16"/>
    <col collapsed="false" customWidth="true" hidden="false" outlineLevel="0" max="17" min="14" style="1" width="20"/>
  </cols>
  <sheetData>
    <row r="1" customFormat="false" ht="15" hidden="false" customHeight="true" outlineLevel="0" collapsed="false">
      <c r="A1" s="29" t="s">
        <v>84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customFormat="false" ht="26.25" hidden="false" customHeight="true" outlineLevel="0" collapsed="false">
      <c r="A2" s="31" t="s">
        <v>85</v>
      </c>
      <c r="B2" s="31" t="s">
        <v>11</v>
      </c>
      <c r="C2" s="31" t="s">
        <v>15</v>
      </c>
      <c r="D2" s="31" t="s">
        <v>18</v>
      </c>
      <c r="E2" s="31" t="s">
        <v>22</v>
      </c>
      <c r="F2" s="31" t="s">
        <v>25</v>
      </c>
      <c r="G2" s="31" t="s">
        <v>28</v>
      </c>
      <c r="H2" s="31" t="s">
        <v>86</v>
      </c>
      <c r="I2" s="31" t="s">
        <v>36</v>
      </c>
      <c r="J2" s="31" t="s">
        <v>39</v>
      </c>
      <c r="K2" s="31" t="s">
        <v>41</v>
      </c>
      <c r="L2" s="31" t="s">
        <v>44</v>
      </c>
      <c r="M2" s="31" t="s">
        <v>87</v>
      </c>
      <c r="N2" s="41" t="s">
        <v>88</v>
      </c>
      <c r="O2" s="41" t="s">
        <v>89</v>
      </c>
      <c r="P2" s="41" t="s">
        <v>90</v>
      </c>
      <c r="Q2" s="41" t="s">
        <v>91</v>
      </c>
    </row>
    <row r="3" customFormat="false" ht="15" hidden="false" customHeight="true" outlineLevel="0" collapsed="false">
      <c r="A3" s="42" t="s">
        <v>92</v>
      </c>
      <c r="B3" s="43" t="s">
        <v>13</v>
      </c>
      <c r="C3" s="43" t="n">
        <v>180</v>
      </c>
      <c r="D3" s="43" t="s">
        <v>20</v>
      </c>
      <c r="E3" s="43" t="n">
        <v>7</v>
      </c>
      <c r="F3" s="43" t="n">
        <v>0</v>
      </c>
      <c r="G3" s="43" t="s">
        <v>30</v>
      </c>
      <c r="H3" s="43" t="s">
        <v>34</v>
      </c>
      <c r="I3" s="43" t="n">
        <v>95</v>
      </c>
      <c r="J3" s="43" t="n">
        <v>88</v>
      </c>
      <c r="K3" s="43" t="n">
        <v>82</v>
      </c>
      <c r="L3" s="43" t="n">
        <v>65</v>
      </c>
      <c r="M3" s="43" t="n">
        <v>0.78</v>
      </c>
      <c r="N3" s="44" t="n">
        <f aca="false">IF(A3="","",ROUND(MAX(0,MIN(C3*1.1,IF(B3="Airport",C3*0.55,IF(B3="Downtown",C3*0.5,IF(B3="Suburban",C3*0.4,IF(B3="College",C3*0.45,C3*0.35))))*(1+0.2*SIN((E3-1)/12*2*PI()-PI()/3))*IF(B3="Airport",CHOOSE(MATCH(D3,{"Monday","Tuesday","Wednesday","Thursday","Friday","Saturday","Sunday"},0),1.05,1.1,1.08,1.12,1.15,0.75,0.7),IF(B3="Downtown",CHOOSE(MATCH(D3,{"Monday","Tuesday","Wednesday","Thursday","Friday","Saturday","Sunday"},0),1,1.05,1.08,1.05,1.1,0.8,0.65),IF(B3="Suburban",CHOOSE(MATCH(D3,{"Monday","Tuesday","Wednesday","Thursday","Friday","Saturday","Sunday"},0),0.8,0.82,0.85,0.88,1.05,1.25,1.2),IF(B3="College",CHOOSE(MATCH(D3,{"Monday","Tuesday","Wednesday","Thursday","Friday","Saturday","Sunday"},0),0.9,0.92,0.95,1,1.15,1.1,0.95),CHOOSE(MATCH(D3,{"Monday","Tuesday","Wednesday","Thursday","Friday","Saturday","Sunday"},0),0.85,0.85,0.88,0.9,1.1,1.2,1.15)))))*IF(F3=1,1.2,1)*IF(G3="Large",2.2,IF(G3="Medium",1.25,IF(G3="Small",1.08,1)))*IF(B3="Airport",1+(IF(H3="Severe",0.6,IF(H3="Snow",0.8,IF(H3="Rain",0.92,1)))-1)*0.3,IF(H3="Severe",0.6,IF(H3="Snow",0.8,IF(H3="Rain",0.92,1))))*(I3*0.4+J3*0.35+K3*0.25)/(IF(B3="Airport",C3*0.55,IF(B3="Downtown",C3*0.5,IF(B3="Suburban",C3*0.4,IF(B3="College",C3*0.45,C3*0.35))))+0.001)*0.3+0.7)),0))</f>
        <v>35</v>
      </c>
      <c r="O3" s="45" t="n">
        <f aca="false">IF(N3="","",ROUND(N3/C3*100,1))</f>
        <v>19.4</v>
      </c>
      <c r="P3" s="46" t="str">
        <f aca="false">IF(N3="","",IF(N3/C3&gt;=0.9,"SURGE",IF(N3/C3&gt;=0.75,"HIGH",IF(N3/C3&gt;=0.5,"NORMAL","LOW"))))</f>
        <v>LOW</v>
      </c>
      <c r="Q3" s="47" t="str">
        <f aca="false">IF(N3="","",IF(N3/C3&gt;=0.9,"Request +"&amp;ROUND(N3-C3*0.85,0)&amp;" vehicles",IF(N3/C3&lt;0.4,"Transfer out "&amp;ROUND(C3*0.5-N3,0),"Hold steady")))</f>
        <v>Transfer out 55</v>
      </c>
    </row>
    <row r="4" customFormat="false" ht="15" hidden="false" customHeight="true" outlineLevel="0" collapsed="false">
      <c r="A4" s="42" t="s">
        <v>93</v>
      </c>
      <c r="B4" s="43" t="s">
        <v>94</v>
      </c>
      <c r="C4" s="43" t="n">
        <v>45</v>
      </c>
      <c r="D4" s="43" t="s">
        <v>75</v>
      </c>
      <c r="E4" s="43" t="n">
        <v>7</v>
      </c>
      <c r="F4" s="43" t="n">
        <v>0</v>
      </c>
      <c r="G4" s="43" t="s">
        <v>95</v>
      </c>
      <c r="H4" s="43" t="s">
        <v>34</v>
      </c>
      <c r="I4" s="43" t="n">
        <v>22</v>
      </c>
      <c r="J4" s="43" t="n">
        <v>19</v>
      </c>
      <c r="K4" s="43" t="n">
        <v>17</v>
      </c>
      <c r="L4" s="43" t="n">
        <v>42</v>
      </c>
      <c r="M4" s="43" t="n">
        <v>0.45</v>
      </c>
      <c r="N4" s="44" t="n">
        <f aca="false">IF(A4="","",ROUND(MAX(0,MIN(C4*1.1,IF(B4="Airport",C4*0.55,IF(B4="Downtown",C4*0.5,IF(B4="Suburban",C4*0.4,IF(B4="College",C4*0.45,C4*0.35))))*(1+0.2*SIN((E4-1)/12*2*PI()-PI()/3))*IF(B4="Airport",CHOOSE(MATCH(D4,{"Monday","Tuesday","Wednesday","Thursday","Friday","Saturday","Sunday"},0),1.05,1.1,1.08,1.12,1.15,0.75,0.7),IF(B4="Downtown",CHOOSE(MATCH(D4,{"Monday","Tuesday","Wednesday","Thursday","Friday","Saturday","Sunday"},0),1,1.05,1.08,1.05,1.1,0.8,0.65),IF(B4="Suburban",CHOOSE(MATCH(D4,{"Monday","Tuesday","Wednesday","Thursday","Friday","Saturday","Sunday"},0),0.8,0.82,0.85,0.88,1.05,1.25,1.2),IF(B4="College",CHOOSE(MATCH(D4,{"Monday","Tuesday","Wednesday","Thursday","Friday","Saturday","Sunday"},0),0.9,0.92,0.95,1,1.15,1.1,0.95),CHOOSE(MATCH(D4,{"Monday","Tuesday","Wednesday","Thursday","Friday","Saturday","Sunday"},0),0.85,0.85,0.88,0.9,1.1,1.2,1.15)))))*IF(F4=1,1.2,1)*IF(G4="Large",2.2,IF(G4="Medium",1.25,IF(G4="Small",1.08,1)))*IF(B4="Airport",1+(IF(H4="Severe",0.6,IF(H4="Snow",0.8,IF(H4="Rain",0.92,1)))-1)*0.3,IF(H4="Severe",0.6,IF(H4="Snow",0.8,IF(H4="Rain",0.92,1))))*(I4*0.4+J4*0.35+K4*0.25)/(IF(B4="Airport",C4*0.55,IF(B4="Downtown",C4*0.5,IF(B4="Suburban",C4*0.4,IF(B4="College",C4*0.45,C4*0.35))))+0.001)*0.3+0.7)),0))</f>
        <v>12</v>
      </c>
      <c r="O4" s="45" t="n">
        <f aca="false">IF(N4="","",ROUND(N4/C4*100,1))</f>
        <v>26.7</v>
      </c>
      <c r="P4" s="46" t="str">
        <f aca="false">IF(N4="","",IF(N4/C4&gt;=0.9,"SURGE",IF(N4/C4&gt;=0.75,"HIGH",IF(N4/C4&gt;=0.5,"NORMAL","LOW"))))</f>
        <v>LOW</v>
      </c>
      <c r="Q4" s="47" t="str">
        <f aca="false">IF(N4="","",IF(N4/C4&gt;=0.9,"Request +"&amp;ROUND(N4-C4*0.85,0)&amp;" vehicles",IF(N4/C4&lt;0.4,"Transfer out "&amp;ROUND(C4*0.5-N4,0),"Hold steady")))</f>
        <v>Transfer out 11</v>
      </c>
    </row>
    <row r="5" customFormat="false" ht="15" hidden="false" customHeight="true" outlineLevel="0" collapsed="false">
      <c r="A5" s="42" t="s">
        <v>96</v>
      </c>
      <c r="B5" s="43" t="s">
        <v>97</v>
      </c>
      <c r="C5" s="43" t="n">
        <v>70</v>
      </c>
      <c r="D5" s="43" t="s">
        <v>74</v>
      </c>
      <c r="E5" s="43" t="n">
        <v>9</v>
      </c>
      <c r="F5" s="43" t="n">
        <v>0</v>
      </c>
      <c r="G5" s="43" t="s">
        <v>98</v>
      </c>
      <c r="H5" s="43" t="s">
        <v>34</v>
      </c>
      <c r="I5" s="43" t="n">
        <v>35</v>
      </c>
      <c r="J5" s="43" t="n">
        <v>30</v>
      </c>
      <c r="K5" s="43" t="n">
        <v>28</v>
      </c>
      <c r="L5" s="43" t="n">
        <v>38</v>
      </c>
      <c r="M5" s="43" t="n">
        <v>0.5</v>
      </c>
      <c r="N5" s="44" t="n">
        <f aca="false">IF(A5="","",ROUND(MAX(0,MIN(C5*1.1,IF(B5="Airport",C5*0.55,IF(B5="Downtown",C5*0.5,IF(B5="Suburban",C5*0.4,IF(B5="College",C5*0.45,C5*0.35))))*(1+0.2*SIN((E5-1)/12*2*PI()-PI()/3))*IF(B5="Airport",CHOOSE(MATCH(D5,{"Monday","Tuesday","Wednesday","Thursday","Friday","Saturday","Sunday"},0),1.05,1.1,1.08,1.12,1.15,0.75,0.7),IF(B5="Downtown",CHOOSE(MATCH(D5,{"Monday","Tuesday","Wednesday","Thursday","Friday","Saturday","Sunday"},0),1,1.05,1.08,1.05,1.1,0.8,0.65),IF(B5="Suburban",CHOOSE(MATCH(D5,{"Monday","Tuesday","Wednesday","Thursday","Friday","Saturday","Sunday"},0),0.8,0.82,0.85,0.88,1.05,1.25,1.2),IF(B5="College",CHOOSE(MATCH(D5,{"Monday","Tuesday","Wednesday","Thursday","Friday","Saturday","Sunday"},0),0.9,0.92,0.95,1,1.15,1.1,0.95),CHOOSE(MATCH(D5,{"Monday","Tuesday","Wednesday","Thursday","Friday","Saturday","Sunday"},0),0.85,0.85,0.88,0.9,1.1,1.2,1.15)))))*IF(F5=1,1.2,1)*IF(G5="Large",2.2,IF(G5="Medium",1.25,IF(G5="Small",1.08,1)))*IF(B5="Airport",1+(IF(H5="Severe",0.6,IF(H5="Snow",0.8,IF(H5="Rain",0.92,1)))-1)*0.3,IF(H5="Severe",0.6,IF(H5="Snow",0.8,IF(H5="Rain",0.92,1))))*(I5*0.4+J5*0.35+K5*0.25)/(IF(B5="Airport",C5*0.55,IF(B5="Downtown",C5*0.5,IF(B5="Suburban",C5*0.4,IF(B5="College",C5*0.45,C5*0.35))))+0.001)*0.3+0.7)),0))</f>
        <v>25</v>
      </c>
      <c r="O5" s="45" t="n">
        <f aca="false">IF(N5="","",ROUND(N5/C5*100,1))</f>
        <v>35.7</v>
      </c>
      <c r="P5" s="46" t="str">
        <f aca="false">IF(N5="","",IF(N5/C5&gt;=0.9,"SURGE",IF(N5/C5&gt;=0.75,"HIGH",IF(N5/C5&gt;=0.5,"NORMAL","LOW"))))</f>
        <v>LOW</v>
      </c>
      <c r="Q5" s="47" t="str">
        <f aca="false">IF(N5="","",IF(N5/C5&gt;=0.9,"Request +"&amp;ROUND(N5-C5*0.85,0)&amp;" vehicles",IF(N5/C5&lt;0.4,"Transfer out "&amp;ROUND(C5*0.5-N5,0),"Hold steady")))</f>
        <v>Transfer out 10</v>
      </c>
    </row>
    <row r="6" customFormat="false" ht="15" hidden="false" customHeight="true" outlineLevel="0" collapsed="false">
      <c r="A6" s="42" t="s">
        <v>99</v>
      </c>
      <c r="B6" s="43" t="s">
        <v>100</v>
      </c>
      <c r="C6" s="43" t="n">
        <v>100</v>
      </c>
      <c r="D6" s="43" t="s">
        <v>71</v>
      </c>
      <c r="E6" s="43" t="n">
        <v>12</v>
      </c>
      <c r="F6" s="43" t="n">
        <v>0</v>
      </c>
      <c r="G6" s="43" t="s">
        <v>30</v>
      </c>
      <c r="H6" s="43" t="s">
        <v>101</v>
      </c>
      <c r="I6" s="43" t="n">
        <v>40</v>
      </c>
      <c r="J6" s="43" t="n">
        <v>45</v>
      </c>
      <c r="K6" s="43" t="n">
        <v>48</v>
      </c>
      <c r="L6" s="43" t="n">
        <v>52</v>
      </c>
      <c r="M6" s="43" t="n">
        <v>0.42</v>
      </c>
      <c r="N6" s="44" t="n">
        <f aca="false">IF(A6="","",ROUND(MAX(0,MIN(C6*1.1,IF(B6="Airport",C6*0.55,IF(B6="Downtown",C6*0.5,IF(B6="Suburban",C6*0.4,IF(B6="College",C6*0.45,C6*0.35))))*(1+0.2*SIN((E6-1)/12*2*PI()-PI()/3))*IF(B6="Airport",CHOOSE(MATCH(D6,{"Monday","Tuesday","Wednesday","Thursday","Friday","Saturday","Sunday"},0),1.05,1.1,1.08,1.12,1.15,0.75,0.7),IF(B6="Downtown",CHOOSE(MATCH(D6,{"Monday","Tuesday","Wednesday","Thursday","Friday","Saturday","Sunday"},0),1,1.05,1.08,1.05,1.1,0.8,0.65),IF(B6="Suburban",CHOOSE(MATCH(D6,{"Monday","Tuesday","Wednesday","Thursday","Friday","Saturday","Sunday"},0),0.8,0.82,0.85,0.88,1.05,1.25,1.2),IF(B6="College",CHOOSE(MATCH(D6,{"Monday","Tuesday","Wednesday","Thursday","Friday","Saturday","Sunday"},0),0.9,0.92,0.95,1,1.15,1.1,0.95),CHOOSE(MATCH(D6,{"Monday","Tuesday","Wednesday","Thursday","Friday","Saturday","Sunday"},0),0.85,0.85,0.88,0.9,1.1,1.2,1.15)))))*IF(F6=1,1.2,1)*IF(G6="Large",2.2,IF(G6="Medium",1.25,IF(G6="Small",1.08,1)))*IF(B6="Airport",1+(IF(H6="Severe",0.6,IF(H6="Snow",0.8,IF(H6="Rain",0.92,1)))-1)*0.3,IF(H6="Severe",0.6,IF(H6="Snow",0.8,IF(H6="Rain",0.92,1))))*(I6*0.4+J6*0.35+K6*0.25)/(IF(B6="Airport",C6*0.55,IF(B6="Downtown",C6*0.5,IF(B6="Suburban",C6*0.4,IF(B6="College",C6*0.45,C6*0.35))))+0.001)*0.3+0.7)),0))</f>
        <v>9</v>
      </c>
      <c r="O6" s="45" t="n">
        <f aca="false">IF(N6="","",ROUND(N6/C6*100,1))</f>
        <v>9</v>
      </c>
      <c r="P6" s="46" t="str">
        <f aca="false">IF(N6="","",IF(N6/C6&gt;=0.9,"SURGE",IF(N6/C6&gt;=0.75,"HIGH",IF(N6/C6&gt;=0.5,"NORMAL","LOW"))))</f>
        <v>LOW</v>
      </c>
      <c r="Q6" s="47" t="str">
        <f aca="false">IF(N6="","",IF(N6/C6&gt;=0.9,"Request +"&amp;ROUND(N6-C6*0.85,0)&amp;" vehicles",IF(N6/C6&lt;0.4,"Transfer out "&amp;ROUND(C6*0.5-N6,0),"Hold steady")))</f>
        <v>Transfer out 41</v>
      </c>
    </row>
    <row r="7" customFormat="false" ht="15" hidden="false" customHeight="true" outlineLevel="0" collapsed="false">
      <c r="A7" s="42" t="s">
        <v>102</v>
      </c>
      <c r="B7" s="43" t="s">
        <v>13</v>
      </c>
      <c r="C7" s="43" t="n">
        <v>155</v>
      </c>
      <c r="D7" s="43" t="s">
        <v>73</v>
      </c>
      <c r="E7" s="43" t="n">
        <v>11</v>
      </c>
      <c r="F7" s="43" t="n">
        <v>1</v>
      </c>
      <c r="G7" s="43" t="s">
        <v>30</v>
      </c>
      <c r="H7" s="43" t="s">
        <v>103</v>
      </c>
      <c r="I7" s="43" t="n">
        <v>105</v>
      </c>
      <c r="J7" s="43" t="n">
        <v>100</v>
      </c>
      <c r="K7" s="43" t="n">
        <v>95</v>
      </c>
      <c r="L7" s="43" t="n">
        <v>72</v>
      </c>
      <c r="M7" s="43" t="n">
        <v>0.7</v>
      </c>
      <c r="N7" s="44" t="n">
        <f aca="false">IF(A7="","",ROUND(MAX(0,MIN(C7*1.1,IF(B7="Airport",C7*0.55,IF(B7="Downtown",C7*0.5,IF(B7="Suburban",C7*0.4,IF(B7="College",C7*0.45,C7*0.35))))*(1+0.2*SIN((E7-1)/12*2*PI()-PI()/3))*IF(B7="Airport",CHOOSE(MATCH(D7,{"Monday","Tuesday","Wednesday","Thursday","Friday","Saturday","Sunday"},0),1.05,1.1,1.08,1.12,1.15,0.75,0.7),IF(B7="Downtown",CHOOSE(MATCH(D7,{"Monday","Tuesday","Wednesday","Thursday","Friday","Saturday","Sunday"},0),1,1.05,1.08,1.05,1.1,0.8,0.65),IF(B7="Suburban",CHOOSE(MATCH(D7,{"Monday","Tuesday","Wednesday","Thursday","Friday","Saturday","Sunday"},0),0.8,0.82,0.85,0.88,1.05,1.25,1.2),IF(B7="College",CHOOSE(MATCH(D7,{"Monday","Tuesday","Wednesday","Thursday","Friday","Saturday","Sunday"},0),0.9,0.92,0.95,1,1.15,1.1,0.95),CHOOSE(MATCH(D7,{"Monday","Tuesday","Wednesday","Thursday","Friday","Saturday","Sunday"},0),0.85,0.85,0.88,0.9,1.1,1.2,1.15)))))*IF(F7=1,1.2,1)*IF(G7="Large",2.2,IF(G7="Medium",1.25,IF(G7="Small",1.08,1)))*IF(B7="Airport",1+(IF(H7="Severe",0.6,IF(H7="Snow",0.8,IF(H7="Rain",0.92,1)))-1)*0.3,IF(H7="Severe",0.6,IF(H7="Snow",0.8,IF(H7="Rain",0.92,1))))*(I7*0.4+J7*0.35+K7*0.25)/(IF(B7="Airport",C7*0.55,IF(B7="Downtown",C7*0.5,IF(B7="Suburban",C7*0.4,IF(B7="College",C7*0.45,C7*0.35))))+0.001)*0.3+0.7)),0))</f>
        <v>33</v>
      </c>
      <c r="O7" s="45" t="n">
        <f aca="false">IF(N7="","",ROUND(N7/C7*100,1))</f>
        <v>21.3</v>
      </c>
      <c r="P7" s="46" t="str">
        <f aca="false">IF(N7="","",IF(N7/C7&gt;=0.9,"SURGE",IF(N7/C7&gt;=0.75,"HIGH",IF(N7/C7&gt;=0.5,"NORMAL","LOW"))))</f>
        <v>LOW</v>
      </c>
      <c r="Q7" s="47" t="str">
        <f aca="false">IF(N7="","",IF(N7/C7&gt;=0.9,"Request +"&amp;ROUND(N7-C7*0.85,0)&amp;" vehicles",IF(N7/C7&lt;0.4,"Transfer out "&amp;ROUND(C7*0.5-N7,0),"Hold steady")))</f>
        <v>Transfer out 45</v>
      </c>
    </row>
    <row r="8" customFormat="false" ht="15" hidden="false" customHeight="true" outlineLevel="0" collapsed="false">
      <c r="N8" s="44" t="str">
        <f aca="false">IF(A8="","",ROUND(MAX(0,MIN(C8*1.1,IF(B8="Airport",C8*0.55,IF(B8="Downtown",C8*0.5,IF(B8="Suburban",C8*0.4,IF(B8="College",C8*0.45,C8*0.35))))*(1+0.2*SIN((E8-1)/12*2*PI()-PI()/3))*IF(B8="Airport",CHOOSE(MATCH(D8,{"Monday","Tuesday","Wednesday","Thursday","Friday","Saturday","Sunday"},0),1.05,1.1,1.08,1.12,1.15,0.75,0.7),IF(B8="Downtown",CHOOSE(MATCH(D8,{"Monday","Tuesday","Wednesday","Thursday","Friday","Saturday","Sunday"},0),1,1.05,1.08,1.05,1.1,0.8,0.65),IF(B8="Suburban",CHOOSE(MATCH(D8,{"Monday","Tuesday","Wednesday","Thursday","Friday","Saturday","Sunday"},0),0.8,0.82,0.85,0.88,1.05,1.25,1.2),IF(B8="College",CHOOSE(MATCH(D8,{"Monday","Tuesday","Wednesday","Thursday","Friday","Saturday","Sunday"},0),0.9,0.92,0.95,1,1.15,1.1,0.95),CHOOSE(MATCH(D8,{"Monday","Tuesday","Wednesday","Thursday","Friday","Saturday","Sunday"},0),0.85,0.85,0.88,0.9,1.1,1.2,1.15)))))*IF(F8=1,1.2,1)*IF(G8="Large",2.2,IF(G8="Medium",1.25,IF(G8="Small",1.08,1)))*IF(B8="Airport",1+(IF(H8="Severe",0.6,IF(H8="Snow",0.8,IF(H8="Rain",0.92,1)))-1)*0.3,IF(H8="Severe",0.6,IF(H8="Snow",0.8,IF(H8="Rain",0.92,1))))*(I8*0.4+J8*0.35+K8*0.25)/(IF(B8="Airport",C8*0.55,IF(B8="Downtown",C8*0.5,IF(B8="Suburban",C8*0.4,IF(B8="College",C8*0.45,C8*0.35))))+0.001)*0.3+0.7)),0))</f>
        <v/>
      </c>
      <c r="O8" s="45" t="str">
        <f aca="false">IF(N8="","",ROUND(N8/C8*100,1))</f>
        <v/>
      </c>
      <c r="P8" s="46" t="str">
        <f aca="false">IF(N8="","",IF(N8/C8&gt;=0.9,"SURGE",IF(N8/C8&gt;=0.75,"HIGH",IF(N8/C8&gt;=0.5,"NORMAL","LOW"))))</f>
        <v/>
      </c>
      <c r="Q8" s="47" t="str">
        <f aca="false">IF(N8="","",IF(N8/C8&gt;=0.9,"Request +"&amp;ROUND(N8-C8*0.85,0)&amp;" vehicles",IF(N8/C8&lt;0.4,"Transfer out "&amp;ROUND(C8*0.5-N8,0),"Hold steady")))</f>
        <v/>
      </c>
    </row>
    <row r="9" customFormat="false" ht="15" hidden="false" customHeight="true" outlineLevel="0" collapsed="false">
      <c r="N9" s="44" t="str">
        <f aca="false">IF(A9="","",ROUND(MAX(0,MIN(C9*1.1,IF(B9="Airport",C9*0.55,IF(B9="Downtown",C9*0.5,IF(B9="Suburban",C9*0.4,IF(B9="College",C9*0.45,C9*0.35))))*(1+0.2*SIN((E9-1)/12*2*PI()-PI()/3))*IF(B9="Airport",CHOOSE(MATCH(D9,{"Monday","Tuesday","Wednesday","Thursday","Friday","Saturday","Sunday"},0),1.05,1.1,1.08,1.12,1.15,0.75,0.7),IF(B9="Downtown",CHOOSE(MATCH(D9,{"Monday","Tuesday","Wednesday","Thursday","Friday","Saturday","Sunday"},0),1,1.05,1.08,1.05,1.1,0.8,0.65),IF(B9="Suburban",CHOOSE(MATCH(D9,{"Monday","Tuesday","Wednesday","Thursday","Friday","Saturday","Sunday"},0),0.8,0.82,0.85,0.88,1.05,1.25,1.2),IF(B9="College",CHOOSE(MATCH(D9,{"Monday","Tuesday","Wednesday","Thursday","Friday","Saturday","Sunday"},0),0.9,0.92,0.95,1,1.15,1.1,0.95),CHOOSE(MATCH(D9,{"Monday","Tuesday","Wednesday","Thursday","Friday","Saturday","Sunday"},0),0.85,0.85,0.88,0.9,1.1,1.2,1.15)))))*IF(F9=1,1.2,1)*IF(G9="Large",2.2,IF(G9="Medium",1.25,IF(G9="Small",1.08,1)))*IF(B9="Airport",1+(IF(H9="Severe",0.6,IF(H9="Snow",0.8,IF(H9="Rain",0.92,1)))-1)*0.3,IF(H9="Severe",0.6,IF(H9="Snow",0.8,IF(H9="Rain",0.92,1))))*(I9*0.4+J9*0.35+K9*0.25)/(IF(B9="Airport",C9*0.55,IF(B9="Downtown",C9*0.5,IF(B9="Suburban",C9*0.4,IF(B9="College",C9*0.45,C9*0.35))))+0.001)*0.3+0.7)),0))</f>
        <v/>
      </c>
      <c r="O9" s="45" t="str">
        <f aca="false">IF(N9="","",ROUND(N9/C9*100,1))</f>
        <v/>
      </c>
      <c r="P9" s="46" t="str">
        <f aca="false">IF(N9="","",IF(N9/C9&gt;=0.9,"SURGE",IF(N9/C9&gt;=0.75,"HIGH",IF(N9/C9&gt;=0.5,"NORMAL","LOW"))))</f>
        <v/>
      </c>
      <c r="Q9" s="47" t="str">
        <f aca="false">IF(N9="","",IF(N9/C9&gt;=0.9,"Request +"&amp;ROUND(N9-C9*0.85,0)&amp;" vehicles",IF(N9/C9&lt;0.4,"Transfer out "&amp;ROUND(C9*0.5-N9,0),"Hold steady")))</f>
        <v/>
      </c>
    </row>
    <row r="10" customFormat="false" ht="15" hidden="false" customHeight="true" outlineLevel="0" collapsed="false">
      <c r="N10" s="44" t="str">
        <f aca="false">IF(A10="","",ROUND(MAX(0,MIN(C10*1.1,IF(B10="Airport",C10*0.55,IF(B10="Downtown",C10*0.5,IF(B10="Suburban",C10*0.4,IF(B10="College",C10*0.45,C10*0.35))))*(1+0.2*SIN((E10-1)/12*2*PI()-PI()/3))*IF(B10="Airport",CHOOSE(MATCH(D10,{"Monday","Tuesday","Wednesday","Thursday","Friday","Saturday","Sunday"},0),1.05,1.1,1.08,1.12,1.15,0.75,0.7),IF(B10="Downtown",CHOOSE(MATCH(D10,{"Monday","Tuesday","Wednesday","Thursday","Friday","Saturday","Sunday"},0),1,1.05,1.08,1.05,1.1,0.8,0.65),IF(B10="Suburban",CHOOSE(MATCH(D10,{"Monday","Tuesday","Wednesday","Thursday","Friday","Saturday","Sunday"},0),0.8,0.82,0.85,0.88,1.05,1.25,1.2),IF(B10="College",CHOOSE(MATCH(D10,{"Monday","Tuesday","Wednesday","Thursday","Friday","Saturday","Sunday"},0),0.9,0.92,0.95,1,1.15,1.1,0.95),CHOOSE(MATCH(D10,{"Monday","Tuesday","Wednesday","Thursday","Friday","Saturday","Sunday"},0),0.85,0.85,0.88,0.9,1.1,1.2,1.15)))))*IF(F10=1,1.2,1)*IF(G10="Large",2.2,IF(G10="Medium",1.25,IF(G10="Small",1.08,1)))*IF(B10="Airport",1+(IF(H10="Severe",0.6,IF(H10="Snow",0.8,IF(H10="Rain",0.92,1)))-1)*0.3,IF(H10="Severe",0.6,IF(H10="Snow",0.8,IF(H10="Rain",0.92,1))))*(I10*0.4+J10*0.35+K10*0.25)/(IF(B10="Airport",C10*0.55,IF(B10="Downtown",C10*0.5,IF(B10="Suburban",C10*0.4,IF(B10="College",C10*0.45,C10*0.35))))+0.001)*0.3+0.7)),0))</f>
        <v/>
      </c>
      <c r="O10" s="45" t="str">
        <f aca="false">IF(N10="","",ROUND(N10/C10*100,1))</f>
        <v/>
      </c>
      <c r="P10" s="46" t="str">
        <f aca="false">IF(N10="","",IF(N10/C10&gt;=0.9,"SURGE",IF(N10/C10&gt;=0.75,"HIGH",IF(N10/C10&gt;=0.5,"NORMAL","LOW"))))</f>
        <v/>
      </c>
      <c r="Q10" s="47" t="str">
        <f aca="false">IF(N10="","",IF(N10/C10&gt;=0.9,"Request +"&amp;ROUND(N10-C10*0.85,0)&amp;" vehicles",IF(N10/C10&lt;0.4,"Transfer out "&amp;ROUND(C10*0.5-N10,0),"Hold steady")))</f>
        <v/>
      </c>
    </row>
    <row r="11" customFormat="false" ht="15" hidden="false" customHeight="true" outlineLevel="0" collapsed="false">
      <c r="N11" s="44" t="str">
        <f aca="false">IF(A11="","",ROUND(MAX(0,MIN(C11*1.1,IF(B11="Airport",C11*0.55,IF(B11="Downtown",C11*0.5,IF(B11="Suburban",C11*0.4,IF(B11="College",C11*0.45,C11*0.35))))*(1+0.2*SIN((E11-1)/12*2*PI()-PI()/3))*IF(B11="Airport",CHOOSE(MATCH(D11,{"Monday","Tuesday","Wednesday","Thursday","Friday","Saturday","Sunday"},0),1.05,1.1,1.08,1.12,1.15,0.75,0.7),IF(B11="Downtown",CHOOSE(MATCH(D11,{"Monday","Tuesday","Wednesday","Thursday","Friday","Saturday","Sunday"},0),1,1.05,1.08,1.05,1.1,0.8,0.65),IF(B11="Suburban",CHOOSE(MATCH(D11,{"Monday","Tuesday","Wednesday","Thursday","Friday","Saturday","Sunday"},0),0.8,0.82,0.85,0.88,1.05,1.25,1.2),IF(B11="College",CHOOSE(MATCH(D11,{"Monday","Tuesday","Wednesday","Thursday","Friday","Saturday","Sunday"},0),0.9,0.92,0.95,1,1.15,1.1,0.95),CHOOSE(MATCH(D11,{"Monday","Tuesday","Wednesday","Thursday","Friday","Saturday","Sunday"},0),0.85,0.85,0.88,0.9,1.1,1.2,1.15)))))*IF(F11=1,1.2,1)*IF(G11="Large",2.2,IF(G11="Medium",1.25,IF(G11="Small",1.08,1)))*IF(B11="Airport",1+(IF(H11="Severe",0.6,IF(H11="Snow",0.8,IF(H11="Rain",0.92,1)))-1)*0.3,IF(H11="Severe",0.6,IF(H11="Snow",0.8,IF(H11="Rain",0.92,1))))*(I11*0.4+J11*0.35+K11*0.25)/(IF(B11="Airport",C11*0.55,IF(B11="Downtown",C11*0.5,IF(B11="Suburban",C11*0.4,IF(B11="College",C11*0.45,C11*0.35))))+0.001)*0.3+0.7)),0))</f>
        <v/>
      </c>
      <c r="O11" s="45" t="str">
        <f aca="false">IF(N11="","",ROUND(N11/C11*100,1))</f>
        <v/>
      </c>
      <c r="P11" s="46" t="str">
        <f aca="false">IF(N11="","",IF(N11/C11&gt;=0.9,"SURGE",IF(N11/C11&gt;=0.75,"HIGH",IF(N11/C11&gt;=0.5,"NORMAL","LOW"))))</f>
        <v/>
      </c>
      <c r="Q11" s="47" t="str">
        <f aca="false">IF(N11="","",IF(N11/C11&gt;=0.9,"Request +"&amp;ROUND(N11-C11*0.85,0)&amp;" vehicles",IF(N11/C11&lt;0.4,"Transfer out "&amp;ROUND(C11*0.5-N11,0),"Hold steady")))</f>
        <v/>
      </c>
    </row>
    <row r="12" customFormat="false" ht="15" hidden="false" customHeight="true" outlineLevel="0" collapsed="false">
      <c r="N12" s="44" t="str">
        <f aca="false">IF(A12="","",ROUND(MAX(0,MIN(C12*1.1,IF(B12="Airport",C12*0.55,IF(B12="Downtown",C12*0.5,IF(B12="Suburban",C12*0.4,IF(B12="College",C12*0.45,C12*0.35))))*(1+0.2*SIN((E12-1)/12*2*PI()-PI()/3))*IF(B12="Airport",CHOOSE(MATCH(D12,{"Monday","Tuesday","Wednesday","Thursday","Friday","Saturday","Sunday"},0),1.05,1.1,1.08,1.12,1.15,0.75,0.7),IF(B12="Downtown",CHOOSE(MATCH(D12,{"Monday","Tuesday","Wednesday","Thursday","Friday","Saturday","Sunday"},0),1,1.05,1.08,1.05,1.1,0.8,0.65),IF(B12="Suburban",CHOOSE(MATCH(D12,{"Monday","Tuesday","Wednesday","Thursday","Friday","Saturday","Sunday"},0),0.8,0.82,0.85,0.88,1.05,1.25,1.2),IF(B12="College",CHOOSE(MATCH(D12,{"Monday","Tuesday","Wednesday","Thursday","Friday","Saturday","Sunday"},0),0.9,0.92,0.95,1,1.15,1.1,0.95),CHOOSE(MATCH(D12,{"Monday","Tuesday","Wednesday","Thursday","Friday","Saturday","Sunday"},0),0.85,0.85,0.88,0.9,1.1,1.2,1.15)))))*IF(F12=1,1.2,1)*IF(G12="Large",2.2,IF(G12="Medium",1.25,IF(G12="Small",1.08,1)))*IF(B12="Airport",1+(IF(H12="Severe",0.6,IF(H12="Snow",0.8,IF(H12="Rain",0.92,1)))-1)*0.3,IF(H12="Severe",0.6,IF(H12="Snow",0.8,IF(H12="Rain",0.92,1))))*(I12*0.4+J12*0.35+K12*0.25)/(IF(B12="Airport",C12*0.55,IF(B12="Downtown",C12*0.5,IF(B12="Suburban",C12*0.4,IF(B12="College",C12*0.45,C12*0.35))))+0.001)*0.3+0.7)),0))</f>
        <v/>
      </c>
      <c r="O12" s="45" t="str">
        <f aca="false">IF(N12="","",ROUND(N12/C12*100,1))</f>
        <v/>
      </c>
      <c r="P12" s="46" t="str">
        <f aca="false">IF(N12="","",IF(N12/C12&gt;=0.9,"SURGE",IF(N12/C12&gt;=0.75,"HIGH",IF(N12/C12&gt;=0.5,"NORMAL","LOW"))))</f>
        <v/>
      </c>
      <c r="Q12" s="47" t="str">
        <f aca="false">IF(N12="","",IF(N12/C12&gt;=0.9,"Request +"&amp;ROUND(N12-C12*0.85,0)&amp;" vehicles",IF(N12/C12&lt;0.4,"Transfer out "&amp;ROUND(C12*0.5-N12,0),"Hold steady")))</f>
        <v/>
      </c>
    </row>
    <row r="13" customFormat="false" ht="15" hidden="false" customHeight="true" outlineLevel="0" collapsed="false">
      <c r="N13" s="44" t="str">
        <f aca="false">IF(A13="","",ROUND(MAX(0,MIN(C13*1.1,IF(B13="Airport",C13*0.55,IF(B13="Downtown",C13*0.5,IF(B13="Suburban",C13*0.4,IF(B13="College",C13*0.45,C13*0.35))))*(1+0.2*SIN((E13-1)/12*2*PI()-PI()/3))*IF(B13="Airport",CHOOSE(MATCH(D13,{"Monday","Tuesday","Wednesday","Thursday","Friday","Saturday","Sunday"},0),1.05,1.1,1.08,1.12,1.15,0.75,0.7),IF(B13="Downtown",CHOOSE(MATCH(D13,{"Monday","Tuesday","Wednesday","Thursday","Friday","Saturday","Sunday"},0),1,1.05,1.08,1.05,1.1,0.8,0.65),IF(B13="Suburban",CHOOSE(MATCH(D13,{"Monday","Tuesday","Wednesday","Thursday","Friday","Saturday","Sunday"},0),0.8,0.82,0.85,0.88,1.05,1.25,1.2),IF(B13="College",CHOOSE(MATCH(D13,{"Monday","Tuesday","Wednesday","Thursday","Friday","Saturday","Sunday"},0),0.9,0.92,0.95,1,1.15,1.1,0.95),CHOOSE(MATCH(D13,{"Monday","Tuesday","Wednesday","Thursday","Friday","Saturday","Sunday"},0),0.85,0.85,0.88,0.9,1.1,1.2,1.15)))))*IF(F13=1,1.2,1)*IF(G13="Large",2.2,IF(G13="Medium",1.25,IF(G13="Small",1.08,1)))*IF(B13="Airport",1+(IF(H13="Severe",0.6,IF(H13="Snow",0.8,IF(H13="Rain",0.92,1)))-1)*0.3,IF(H13="Severe",0.6,IF(H13="Snow",0.8,IF(H13="Rain",0.92,1))))*(I13*0.4+J13*0.35+K13*0.25)/(IF(B13="Airport",C13*0.55,IF(B13="Downtown",C13*0.5,IF(B13="Suburban",C13*0.4,IF(B13="College",C13*0.45,C13*0.35))))+0.001)*0.3+0.7)),0))</f>
        <v/>
      </c>
      <c r="O13" s="45" t="str">
        <f aca="false">IF(N13="","",ROUND(N13/C13*100,1))</f>
        <v/>
      </c>
      <c r="P13" s="46" t="str">
        <f aca="false">IF(N13="","",IF(N13/C13&gt;=0.9,"SURGE",IF(N13/C13&gt;=0.75,"HIGH",IF(N13/C13&gt;=0.5,"NORMAL","LOW"))))</f>
        <v/>
      </c>
      <c r="Q13" s="47" t="str">
        <f aca="false">IF(N13="","",IF(N13/C13&gt;=0.9,"Request +"&amp;ROUND(N13-C13*0.85,0)&amp;" vehicles",IF(N13/C13&lt;0.4,"Transfer out "&amp;ROUND(C13*0.5-N13,0),"Hold steady")))</f>
        <v/>
      </c>
    </row>
    <row r="14" customFormat="false" ht="15" hidden="false" customHeight="true" outlineLevel="0" collapsed="false">
      <c r="N14" s="44" t="str">
        <f aca="false">IF(A14="","",ROUND(MAX(0,MIN(C14*1.1,IF(B14="Airport",C14*0.55,IF(B14="Downtown",C14*0.5,IF(B14="Suburban",C14*0.4,IF(B14="College",C14*0.45,C14*0.35))))*(1+0.2*SIN((E14-1)/12*2*PI()-PI()/3))*IF(B14="Airport",CHOOSE(MATCH(D14,{"Monday","Tuesday","Wednesday","Thursday","Friday","Saturday","Sunday"},0),1.05,1.1,1.08,1.12,1.15,0.75,0.7),IF(B14="Downtown",CHOOSE(MATCH(D14,{"Monday","Tuesday","Wednesday","Thursday","Friday","Saturday","Sunday"},0),1,1.05,1.08,1.05,1.1,0.8,0.65),IF(B14="Suburban",CHOOSE(MATCH(D14,{"Monday","Tuesday","Wednesday","Thursday","Friday","Saturday","Sunday"},0),0.8,0.82,0.85,0.88,1.05,1.25,1.2),IF(B14="College",CHOOSE(MATCH(D14,{"Monday","Tuesday","Wednesday","Thursday","Friday","Saturday","Sunday"},0),0.9,0.92,0.95,1,1.15,1.1,0.95),CHOOSE(MATCH(D14,{"Monday","Tuesday","Wednesday","Thursday","Friday","Saturday","Sunday"},0),0.85,0.85,0.88,0.9,1.1,1.2,1.15)))))*IF(F14=1,1.2,1)*IF(G14="Large",2.2,IF(G14="Medium",1.25,IF(G14="Small",1.08,1)))*IF(B14="Airport",1+(IF(H14="Severe",0.6,IF(H14="Snow",0.8,IF(H14="Rain",0.92,1)))-1)*0.3,IF(H14="Severe",0.6,IF(H14="Snow",0.8,IF(H14="Rain",0.92,1))))*(I14*0.4+J14*0.35+K14*0.25)/(IF(B14="Airport",C14*0.55,IF(B14="Downtown",C14*0.5,IF(B14="Suburban",C14*0.4,IF(B14="College",C14*0.45,C14*0.35))))+0.001)*0.3+0.7)),0))</f>
        <v/>
      </c>
      <c r="O14" s="45" t="str">
        <f aca="false">IF(N14="","",ROUND(N14/C14*100,1))</f>
        <v/>
      </c>
      <c r="P14" s="46" t="str">
        <f aca="false">IF(N14="","",IF(N14/C14&gt;=0.9,"SURGE",IF(N14/C14&gt;=0.75,"HIGH",IF(N14/C14&gt;=0.5,"NORMAL","LOW"))))</f>
        <v/>
      </c>
      <c r="Q14" s="47" t="str">
        <f aca="false">IF(N14="","",IF(N14/C14&gt;=0.9,"Request +"&amp;ROUND(N14-C14*0.85,0)&amp;" vehicles",IF(N14/C14&lt;0.4,"Transfer out "&amp;ROUND(C14*0.5-N14,0),"Hold steady")))</f>
        <v/>
      </c>
    </row>
    <row r="15" customFormat="false" ht="15" hidden="false" customHeight="true" outlineLevel="0" collapsed="false">
      <c r="N15" s="44" t="str">
        <f aca="false">IF(A15="","",ROUND(MAX(0,MIN(C15*1.1,IF(B15="Airport",C15*0.55,IF(B15="Downtown",C15*0.5,IF(B15="Suburban",C15*0.4,IF(B15="College",C15*0.45,C15*0.35))))*(1+0.2*SIN((E15-1)/12*2*PI()-PI()/3))*IF(B15="Airport",CHOOSE(MATCH(D15,{"Monday","Tuesday","Wednesday","Thursday","Friday","Saturday","Sunday"},0),1.05,1.1,1.08,1.12,1.15,0.75,0.7),IF(B15="Downtown",CHOOSE(MATCH(D15,{"Monday","Tuesday","Wednesday","Thursday","Friday","Saturday","Sunday"},0),1,1.05,1.08,1.05,1.1,0.8,0.65),IF(B15="Suburban",CHOOSE(MATCH(D15,{"Monday","Tuesday","Wednesday","Thursday","Friday","Saturday","Sunday"},0),0.8,0.82,0.85,0.88,1.05,1.25,1.2),IF(B15="College",CHOOSE(MATCH(D15,{"Monday","Tuesday","Wednesday","Thursday","Friday","Saturday","Sunday"},0),0.9,0.92,0.95,1,1.15,1.1,0.95),CHOOSE(MATCH(D15,{"Monday","Tuesday","Wednesday","Thursday","Friday","Saturday","Sunday"},0),0.85,0.85,0.88,0.9,1.1,1.2,1.15)))))*IF(F15=1,1.2,1)*IF(G15="Large",2.2,IF(G15="Medium",1.25,IF(G15="Small",1.08,1)))*IF(B15="Airport",1+(IF(H15="Severe",0.6,IF(H15="Snow",0.8,IF(H15="Rain",0.92,1)))-1)*0.3,IF(H15="Severe",0.6,IF(H15="Snow",0.8,IF(H15="Rain",0.92,1))))*(I15*0.4+J15*0.35+K15*0.25)/(IF(B15="Airport",C15*0.55,IF(B15="Downtown",C15*0.5,IF(B15="Suburban",C15*0.4,IF(B15="College",C15*0.45,C15*0.35))))+0.001)*0.3+0.7)),0))</f>
        <v/>
      </c>
      <c r="O15" s="45" t="str">
        <f aca="false">IF(N15="","",ROUND(N15/C15*100,1))</f>
        <v/>
      </c>
      <c r="P15" s="46" t="str">
        <f aca="false">IF(N15="","",IF(N15/C15&gt;=0.9,"SURGE",IF(N15/C15&gt;=0.75,"HIGH",IF(N15/C15&gt;=0.5,"NORMAL","LOW"))))</f>
        <v/>
      </c>
      <c r="Q15" s="47" t="str">
        <f aca="false">IF(N15="","",IF(N15/C15&gt;=0.9,"Request +"&amp;ROUND(N15-C15*0.85,0)&amp;" vehicles",IF(N15/C15&lt;0.4,"Transfer out "&amp;ROUND(C15*0.5-N15,0),"Hold steady")))</f>
        <v/>
      </c>
    </row>
    <row r="16" customFormat="false" ht="15" hidden="false" customHeight="true" outlineLevel="0" collapsed="false">
      <c r="N16" s="44" t="str">
        <f aca="false">IF(A16="","",ROUND(MAX(0,MIN(C16*1.1,IF(B16="Airport",C16*0.55,IF(B16="Downtown",C16*0.5,IF(B16="Suburban",C16*0.4,IF(B16="College",C16*0.45,C16*0.35))))*(1+0.2*SIN((E16-1)/12*2*PI()-PI()/3))*IF(B16="Airport",CHOOSE(MATCH(D16,{"Monday","Tuesday","Wednesday","Thursday","Friday","Saturday","Sunday"},0),1.05,1.1,1.08,1.12,1.15,0.75,0.7),IF(B16="Downtown",CHOOSE(MATCH(D16,{"Monday","Tuesday","Wednesday","Thursday","Friday","Saturday","Sunday"},0),1,1.05,1.08,1.05,1.1,0.8,0.65),IF(B16="Suburban",CHOOSE(MATCH(D16,{"Monday","Tuesday","Wednesday","Thursday","Friday","Saturday","Sunday"},0),0.8,0.82,0.85,0.88,1.05,1.25,1.2),IF(B16="College",CHOOSE(MATCH(D16,{"Monday","Tuesday","Wednesday","Thursday","Friday","Saturday","Sunday"},0),0.9,0.92,0.95,1,1.15,1.1,0.95),CHOOSE(MATCH(D16,{"Monday","Tuesday","Wednesday","Thursday","Friday","Saturday","Sunday"},0),0.85,0.85,0.88,0.9,1.1,1.2,1.15)))))*IF(F16=1,1.2,1)*IF(G16="Large",2.2,IF(G16="Medium",1.25,IF(G16="Small",1.08,1)))*IF(B16="Airport",1+(IF(H16="Severe",0.6,IF(H16="Snow",0.8,IF(H16="Rain",0.92,1)))-1)*0.3,IF(H16="Severe",0.6,IF(H16="Snow",0.8,IF(H16="Rain",0.92,1))))*(I16*0.4+J16*0.35+K16*0.25)/(IF(B16="Airport",C16*0.55,IF(B16="Downtown",C16*0.5,IF(B16="Suburban",C16*0.4,IF(B16="College",C16*0.45,C16*0.35))))+0.001)*0.3+0.7)),0))</f>
        <v/>
      </c>
      <c r="O16" s="45" t="str">
        <f aca="false">IF(N16="","",ROUND(N16/C16*100,1))</f>
        <v/>
      </c>
      <c r="P16" s="46" t="str">
        <f aca="false">IF(N16="","",IF(N16/C16&gt;=0.9,"SURGE",IF(N16/C16&gt;=0.75,"HIGH",IF(N16/C16&gt;=0.5,"NORMAL","LOW"))))</f>
        <v/>
      </c>
      <c r="Q16" s="47" t="str">
        <f aca="false">IF(N16="","",IF(N16/C16&gt;=0.9,"Request +"&amp;ROUND(N16-C16*0.85,0)&amp;" vehicles",IF(N16/C16&lt;0.4,"Transfer out "&amp;ROUND(C16*0.5-N16,0),"Hold steady")))</f>
        <v/>
      </c>
    </row>
    <row r="17" customFormat="false" ht="15" hidden="false" customHeight="true" outlineLevel="0" collapsed="false">
      <c r="N17" s="44" t="str">
        <f aca="false">IF(A17="","",ROUND(MAX(0,MIN(C17*1.1,IF(B17="Airport",C17*0.55,IF(B17="Downtown",C17*0.5,IF(B17="Suburban",C17*0.4,IF(B17="College",C17*0.45,C17*0.35))))*(1+0.2*SIN((E17-1)/12*2*PI()-PI()/3))*IF(B17="Airport",CHOOSE(MATCH(D17,{"Monday","Tuesday","Wednesday","Thursday","Friday","Saturday","Sunday"},0),1.05,1.1,1.08,1.12,1.15,0.75,0.7),IF(B17="Downtown",CHOOSE(MATCH(D17,{"Monday","Tuesday","Wednesday","Thursday","Friday","Saturday","Sunday"},0),1,1.05,1.08,1.05,1.1,0.8,0.65),IF(B17="Suburban",CHOOSE(MATCH(D17,{"Monday","Tuesday","Wednesday","Thursday","Friday","Saturday","Sunday"},0),0.8,0.82,0.85,0.88,1.05,1.25,1.2),IF(B17="College",CHOOSE(MATCH(D17,{"Monday","Tuesday","Wednesday","Thursday","Friday","Saturday","Sunday"},0),0.9,0.92,0.95,1,1.15,1.1,0.95),CHOOSE(MATCH(D17,{"Monday","Tuesday","Wednesday","Thursday","Friday","Saturday","Sunday"},0),0.85,0.85,0.88,0.9,1.1,1.2,1.15)))))*IF(F17=1,1.2,1)*IF(G17="Large",2.2,IF(G17="Medium",1.25,IF(G17="Small",1.08,1)))*IF(B17="Airport",1+(IF(H17="Severe",0.6,IF(H17="Snow",0.8,IF(H17="Rain",0.92,1)))-1)*0.3,IF(H17="Severe",0.6,IF(H17="Snow",0.8,IF(H17="Rain",0.92,1))))*(I17*0.4+J17*0.35+K17*0.25)/(IF(B17="Airport",C17*0.55,IF(B17="Downtown",C17*0.5,IF(B17="Suburban",C17*0.4,IF(B17="College",C17*0.45,C17*0.35))))+0.001)*0.3+0.7)),0))</f>
        <v/>
      </c>
      <c r="O17" s="45" t="str">
        <f aca="false">IF(N17="","",ROUND(N17/C17*100,1))</f>
        <v/>
      </c>
      <c r="P17" s="46" t="str">
        <f aca="false">IF(N17="","",IF(N17/C17&gt;=0.9,"SURGE",IF(N17/C17&gt;=0.75,"HIGH",IF(N17/C17&gt;=0.5,"NORMAL","LOW"))))</f>
        <v/>
      </c>
      <c r="Q17" s="47" t="str">
        <f aca="false">IF(N17="","",IF(N17/C17&gt;=0.9,"Request +"&amp;ROUND(N17-C17*0.85,0)&amp;" vehicles",IF(N17/C17&lt;0.4,"Transfer out "&amp;ROUND(C17*0.5-N17,0),"Hold steady")))</f>
        <v/>
      </c>
    </row>
    <row r="18" customFormat="false" ht="15" hidden="false" customHeight="true" outlineLevel="0" collapsed="false">
      <c r="N18" s="44" t="str">
        <f aca="false">IF(A18="","",ROUND(MAX(0,MIN(C18*1.1,IF(B18="Airport",C18*0.55,IF(B18="Downtown",C18*0.5,IF(B18="Suburban",C18*0.4,IF(B18="College",C18*0.45,C18*0.35))))*(1+0.2*SIN((E18-1)/12*2*PI()-PI()/3))*IF(B18="Airport",CHOOSE(MATCH(D18,{"Monday","Tuesday","Wednesday","Thursday","Friday","Saturday","Sunday"},0),1.05,1.1,1.08,1.12,1.15,0.75,0.7),IF(B18="Downtown",CHOOSE(MATCH(D18,{"Monday","Tuesday","Wednesday","Thursday","Friday","Saturday","Sunday"},0),1,1.05,1.08,1.05,1.1,0.8,0.65),IF(B18="Suburban",CHOOSE(MATCH(D18,{"Monday","Tuesday","Wednesday","Thursday","Friday","Saturday","Sunday"},0),0.8,0.82,0.85,0.88,1.05,1.25,1.2),IF(B18="College",CHOOSE(MATCH(D18,{"Monday","Tuesday","Wednesday","Thursday","Friday","Saturday","Sunday"},0),0.9,0.92,0.95,1,1.15,1.1,0.95),CHOOSE(MATCH(D18,{"Monday","Tuesday","Wednesday","Thursday","Friday","Saturday","Sunday"},0),0.85,0.85,0.88,0.9,1.1,1.2,1.15)))))*IF(F18=1,1.2,1)*IF(G18="Large",2.2,IF(G18="Medium",1.25,IF(G18="Small",1.08,1)))*IF(B18="Airport",1+(IF(H18="Severe",0.6,IF(H18="Snow",0.8,IF(H18="Rain",0.92,1)))-1)*0.3,IF(H18="Severe",0.6,IF(H18="Snow",0.8,IF(H18="Rain",0.92,1))))*(I18*0.4+J18*0.35+K18*0.25)/(IF(B18="Airport",C18*0.55,IF(B18="Downtown",C18*0.5,IF(B18="Suburban",C18*0.4,IF(B18="College",C18*0.45,C18*0.35))))+0.001)*0.3+0.7)),0))</f>
        <v/>
      </c>
      <c r="O18" s="45" t="str">
        <f aca="false">IF(N18="","",ROUND(N18/C18*100,1))</f>
        <v/>
      </c>
      <c r="P18" s="46" t="str">
        <f aca="false">IF(N18="","",IF(N18/C18&gt;=0.9,"SURGE",IF(N18/C18&gt;=0.75,"HIGH",IF(N18/C18&gt;=0.5,"NORMAL","LOW"))))</f>
        <v/>
      </c>
      <c r="Q18" s="47" t="str">
        <f aca="false">IF(N18="","",IF(N18/C18&gt;=0.9,"Request +"&amp;ROUND(N18-C18*0.85,0)&amp;" vehicles",IF(N18/C18&lt;0.4,"Transfer out "&amp;ROUND(C18*0.5-N18,0),"Hold steady")))</f>
        <v/>
      </c>
    </row>
    <row r="19" customFormat="false" ht="15" hidden="false" customHeight="true" outlineLevel="0" collapsed="false">
      <c r="N19" s="44" t="str">
        <f aca="false">IF(A19="","",ROUND(MAX(0,MIN(C19*1.1,IF(B19="Airport",C19*0.55,IF(B19="Downtown",C19*0.5,IF(B19="Suburban",C19*0.4,IF(B19="College",C19*0.45,C19*0.35))))*(1+0.2*SIN((E19-1)/12*2*PI()-PI()/3))*IF(B19="Airport",CHOOSE(MATCH(D19,{"Monday","Tuesday","Wednesday","Thursday","Friday","Saturday","Sunday"},0),1.05,1.1,1.08,1.12,1.15,0.75,0.7),IF(B19="Downtown",CHOOSE(MATCH(D19,{"Monday","Tuesday","Wednesday","Thursday","Friday","Saturday","Sunday"},0),1,1.05,1.08,1.05,1.1,0.8,0.65),IF(B19="Suburban",CHOOSE(MATCH(D19,{"Monday","Tuesday","Wednesday","Thursday","Friday","Saturday","Sunday"},0),0.8,0.82,0.85,0.88,1.05,1.25,1.2),IF(B19="College",CHOOSE(MATCH(D19,{"Monday","Tuesday","Wednesday","Thursday","Friday","Saturday","Sunday"},0),0.9,0.92,0.95,1,1.15,1.1,0.95),CHOOSE(MATCH(D19,{"Monday","Tuesday","Wednesday","Thursday","Friday","Saturday","Sunday"},0),0.85,0.85,0.88,0.9,1.1,1.2,1.15)))))*IF(F19=1,1.2,1)*IF(G19="Large",2.2,IF(G19="Medium",1.25,IF(G19="Small",1.08,1)))*IF(B19="Airport",1+(IF(H19="Severe",0.6,IF(H19="Snow",0.8,IF(H19="Rain",0.92,1)))-1)*0.3,IF(H19="Severe",0.6,IF(H19="Snow",0.8,IF(H19="Rain",0.92,1))))*(I19*0.4+J19*0.35+K19*0.25)/(IF(B19="Airport",C19*0.55,IF(B19="Downtown",C19*0.5,IF(B19="Suburban",C19*0.4,IF(B19="College",C19*0.45,C19*0.35))))+0.001)*0.3+0.7)),0))</f>
        <v/>
      </c>
      <c r="O19" s="45" t="str">
        <f aca="false">IF(N19="","",ROUND(N19/C19*100,1))</f>
        <v/>
      </c>
      <c r="P19" s="46" t="str">
        <f aca="false">IF(N19="","",IF(N19/C19&gt;=0.9,"SURGE",IF(N19/C19&gt;=0.75,"HIGH",IF(N19/C19&gt;=0.5,"NORMAL","LOW"))))</f>
        <v/>
      </c>
      <c r="Q19" s="47" t="str">
        <f aca="false">IF(N19="","",IF(N19/C19&gt;=0.9,"Request +"&amp;ROUND(N19-C19*0.85,0)&amp;" vehicles",IF(N19/C19&lt;0.4,"Transfer out "&amp;ROUND(C19*0.5-N19,0),"Hold steady")))</f>
        <v/>
      </c>
    </row>
    <row r="20" customFormat="false" ht="15" hidden="false" customHeight="true" outlineLevel="0" collapsed="false">
      <c r="N20" s="44" t="str">
        <f aca="false">IF(A20="","",ROUND(MAX(0,MIN(C20*1.1,IF(B20="Airport",C20*0.55,IF(B20="Downtown",C20*0.5,IF(B20="Suburban",C20*0.4,IF(B20="College",C20*0.45,C20*0.35))))*(1+0.2*SIN((E20-1)/12*2*PI()-PI()/3))*IF(B20="Airport",CHOOSE(MATCH(D20,{"Monday","Tuesday","Wednesday","Thursday","Friday","Saturday","Sunday"},0),1.05,1.1,1.08,1.12,1.15,0.75,0.7),IF(B20="Downtown",CHOOSE(MATCH(D20,{"Monday","Tuesday","Wednesday","Thursday","Friday","Saturday","Sunday"},0),1,1.05,1.08,1.05,1.1,0.8,0.65),IF(B20="Suburban",CHOOSE(MATCH(D20,{"Monday","Tuesday","Wednesday","Thursday","Friday","Saturday","Sunday"},0),0.8,0.82,0.85,0.88,1.05,1.25,1.2),IF(B20="College",CHOOSE(MATCH(D20,{"Monday","Tuesday","Wednesday","Thursday","Friday","Saturday","Sunday"},0),0.9,0.92,0.95,1,1.15,1.1,0.95),CHOOSE(MATCH(D20,{"Monday","Tuesday","Wednesday","Thursday","Friday","Saturday","Sunday"},0),0.85,0.85,0.88,0.9,1.1,1.2,1.15)))))*IF(F20=1,1.2,1)*IF(G20="Large",2.2,IF(G20="Medium",1.25,IF(G20="Small",1.08,1)))*IF(B20="Airport",1+(IF(H20="Severe",0.6,IF(H20="Snow",0.8,IF(H20="Rain",0.92,1)))-1)*0.3,IF(H20="Severe",0.6,IF(H20="Snow",0.8,IF(H20="Rain",0.92,1))))*(I20*0.4+J20*0.35+K20*0.25)/(IF(B20="Airport",C20*0.55,IF(B20="Downtown",C20*0.5,IF(B20="Suburban",C20*0.4,IF(B20="College",C20*0.45,C20*0.35))))+0.001)*0.3+0.7)),0))</f>
        <v/>
      </c>
      <c r="O20" s="45" t="str">
        <f aca="false">IF(N20="","",ROUND(N20/C20*100,1))</f>
        <v/>
      </c>
      <c r="P20" s="46" t="str">
        <f aca="false">IF(N20="","",IF(N20/C20&gt;=0.9,"SURGE",IF(N20/C20&gt;=0.75,"HIGH",IF(N20/C20&gt;=0.5,"NORMAL","LOW"))))</f>
        <v/>
      </c>
      <c r="Q20" s="47" t="str">
        <f aca="false">IF(N20="","",IF(N20/C20&gt;=0.9,"Request +"&amp;ROUND(N20-C20*0.85,0)&amp;" vehicles",IF(N20/C20&lt;0.4,"Transfer out "&amp;ROUND(C20*0.5-N20,0),"Hold steady")))</f>
        <v/>
      </c>
    </row>
    <row r="21" customFormat="false" ht="15" hidden="false" customHeight="true" outlineLevel="0" collapsed="false">
      <c r="N21" s="44" t="str">
        <f aca="false">IF(A21="","",ROUND(MAX(0,MIN(C21*1.1,IF(B21="Airport",C21*0.55,IF(B21="Downtown",C21*0.5,IF(B21="Suburban",C21*0.4,IF(B21="College",C21*0.45,C21*0.35))))*(1+0.2*SIN((E21-1)/12*2*PI()-PI()/3))*IF(B21="Airport",CHOOSE(MATCH(D21,{"Monday","Tuesday","Wednesday","Thursday","Friday","Saturday","Sunday"},0),1.05,1.1,1.08,1.12,1.15,0.75,0.7),IF(B21="Downtown",CHOOSE(MATCH(D21,{"Monday","Tuesday","Wednesday","Thursday","Friday","Saturday","Sunday"},0),1,1.05,1.08,1.05,1.1,0.8,0.65),IF(B21="Suburban",CHOOSE(MATCH(D21,{"Monday","Tuesday","Wednesday","Thursday","Friday","Saturday","Sunday"},0),0.8,0.82,0.85,0.88,1.05,1.25,1.2),IF(B21="College",CHOOSE(MATCH(D21,{"Monday","Tuesday","Wednesday","Thursday","Friday","Saturday","Sunday"},0),0.9,0.92,0.95,1,1.15,1.1,0.95),CHOOSE(MATCH(D21,{"Monday","Tuesday","Wednesday","Thursday","Friday","Saturday","Sunday"},0),0.85,0.85,0.88,0.9,1.1,1.2,1.15)))))*IF(F21=1,1.2,1)*IF(G21="Large",2.2,IF(G21="Medium",1.25,IF(G21="Small",1.08,1)))*IF(B21="Airport",1+(IF(H21="Severe",0.6,IF(H21="Snow",0.8,IF(H21="Rain",0.92,1)))-1)*0.3,IF(H21="Severe",0.6,IF(H21="Snow",0.8,IF(H21="Rain",0.92,1))))*(I21*0.4+J21*0.35+K21*0.25)/(IF(B21="Airport",C21*0.55,IF(B21="Downtown",C21*0.5,IF(B21="Suburban",C21*0.4,IF(B21="College",C21*0.45,C21*0.35))))+0.001)*0.3+0.7)),0))</f>
        <v/>
      </c>
      <c r="O21" s="45" t="str">
        <f aca="false">IF(N21="","",ROUND(N21/C21*100,1))</f>
        <v/>
      </c>
      <c r="P21" s="46" t="str">
        <f aca="false">IF(N21="","",IF(N21/C21&gt;=0.9,"SURGE",IF(N21/C21&gt;=0.75,"HIGH",IF(N21/C21&gt;=0.5,"NORMAL","LOW"))))</f>
        <v/>
      </c>
      <c r="Q21" s="47" t="str">
        <f aca="false">IF(N21="","",IF(N21/C21&gt;=0.9,"Request +"&amp;ROUND(N21-C21*0.85,0)&amp;" vehicles",IF(N21/C21&lt;0.4,"Transfer out "&amp;ROUND(C21*0.5-N21,0),"Hold steady")))</f>
        <v/>
      </c>
    </row>
    <row r="22" customFormat="false" ht="15" hidden="false" customHeight="true" outlineLevel="0" collapsed="false">
      <c r="N22" s="44" t="str">
        <f aca="false">IF(A22="","",ROUND(MAX(0,MIN(C22*1.1,IF(B22="Airport",C22*0.55,IF(B22="Downtown",C22*0.5,IF(B22="Suburban",C22*0.4,IF(B22="College",C22*0.45,C22*0.35))))*(1+0.2*SIN((E22-1)/12*2*PI()-PI()/3))*IF(B22="Airport",CHOOSE(MATCH(D22,{"Monday","Tuesday","Wednesday","Thursday","Friday","Saturday","Sunday"},0),1.05,1.1,1.08,1.12,1.15,0.75,0.7),IF(B22="Downtown",CHOOSE(MATCH(D22,{"Monday","Tuesday","Wednesday","Thursday","Friday","Saturday","Sunday"},0),1,1.05,1.08,1.05,1.1,0.8,0.65),IF(B22="Suburban",CHOOSE(MATCH(D22,{"Monday","Tuesday","Wednesday","Thursday","Friday","Saturday","Sunday"},0),0.8,0.82,0.85,0.88,1.05,1.25,1.2),IF(B22="College",CHOOSE(MATCH(D22,{"Monday","Tuesday","Wednesday","Thursday","Friday","Saturday","Sunday"},0),0.9,0.92,0.95,1,1.15,1.1,0.95),CHOOSE(MATCH(D22,{"Monday","Tuesday","Wednesday","Thursday","Friday","Saturday","Sunday"},0),0.85,0.85,0.88,0.9,1.1,1.2,1.15)))))*IF(F22=1,1.2,1)*IF(G22="Large",2.2,IF(G22="Medium",1.25,IF(G22="Small",1.08,1)))*IF(B22="Airport",1+(IF(H22="Severe",0.6,IF(H22="Snow",0.8,IF(H22="Rain",0.92,1)))-1)*0.3,IF(H22="Severe",0.6,IF(H22="Snow",0.8,IF(H22="Rain",0.92,1))))*(I22*0.4+J22*0.35+K22*0.25)/(IF(B22="Airport",C22*0.55,IF(B22="Downtown",C22*0.5,IF(B22="Suburban",C22*0.4,IF(B22="College",C22*0.45,C22*0.35))))+0.001)*0.3+0.7)),0))</f>
        <v/>
      </c>
      <c r="O22" s="45" t="str">
        <f aca="false">IF(N22="","",ROUND(N22/C22*100,1))</f>
        <v/>
      </c>
      <c r="P22" s="46" t="str">
        <f aca="false">IF(N22="","",IF(N22/C22&gt;=0.9,"SURGE",IF(N22/C22&gt;=0.75,"HIGH",IF(N22/C22&gt;=0.5,"NORMAL","LOW"))))</f>
        <v/>
      </c>
      <c r="Q22" s="47" t="str">
        <f aca="false">IF(N22="","",IF(N22/C22&gt;=0.9,"Request +"&amp;ROUND(N22-C22*0.85,0)&amp;" vehicles",IF(N22/C22&lt;0.4,"Transfer out "&amp;ROUND(C22*0.5-N22,0),"Hold steady")))</f>
        <v/>
      </c>
    </row>
    <row r="23" customFormat="false" ht="15" hidden="false" customHeight="true" outlineLevel="0" collapsed="false">
      <c r="N23" s="44" t="str">
        <f aca="false">IF(A23="","",ROUND(MAX(0,MIN(C23*1.1,IF(B23="Airport",C23*0.55,IF(B23="Downtown",C23*0.5,IF(B23="Suburban",C23*0.4,IF(B23="College",C23*0.45,C23*0.35))))*(1+0.2*SIN((E23-1)/12*2*PI()-PI()/3))*IF(B23="Airport",CHOOSE(MATCH(D23,{"Monday","Tuesday","Wednesday","Thursday","Friday","Saturday","Sunday"},0),1.05,1.1,1.08,1.12,1.15,0.75,0.7),IF(B23="Downtown",CHOOSE(MATCH(D23,{"Monday","Tuesday","Wednesday","Thursday","Friday","Saturday","Sunday"},0),1,1.05,1.08,1.05,1.1,0.8,0.65),IF(B23="Suburban",CHOOSE(MATCH(D23,{"Monday","Tuesday","Wednesday","Thursday","Friday","Saturday","Sunday"},0),0.8,0.82,0.85,0.88,1.05,1.25,1.2),IF(B23="College",CHOOSE(MATCH(D23,{"Monday","Tuesday","Wednesday","Thursday","Friday","Saturday","Sunday"},0),0.9,0.92,0.95,1,1.15,1.1,0.95),CHOOSE(MATCH(D23,{"Monday","Tuesday","Wednesday","Thursday","Friday","Saturday","Sunday"},0),0.85,0.85,0.88,0.9,1.1,1.2,1.15)))))*IF(F23=1,1.2,1)*IF(G23="Large",2.2,IF(G23="Medium",1.25,IF(G23="Small",1.08,1)))*IF(B23="Airport",1+(IF(H23="Severe",0.6,IF(H23="Snow",0.8,IF(H23="Rain",0.92,1)))-1)*0.3,IF(H23="Severe",0.6,IF(H23="Snow",0.8,IF(H23="Rain",0.92,1))))*(I23*0.4+J23*0.35+K23*0.25)/(IF(B23="Airport",C23*0.55,IF(B23="Downtown",C23*0.5,IF(B23="Suburban",C23*0.4,IF(B23="College",C23*0.45,C23*0.35))))+0.001)*0.3+0.7)),0))</f>
        <v/>
      </c>
      <c r="O23" s="45" t="str">
        <f aca="false">IF(N23="","",ROUND(N23/C23*100,1))</f>
        <v/>
      </c>
      <c r="P23" s="46" t="str">
        <f aca="false">IF(N23="","",IF(N23/C23&gt;=0.9,"SURGE",IF(N23/C23&gt;=0.75,"HIGH",IF(N23/C23&gt;=0.5,"NORMAL","LOW"))))</f>
        <v/>
      </c>
      <c r="Q23" s="47" t="str">
        <f aca="false">IF(N23="","",IF(N23/C23&gt;=0.9,"Request +"&amp;ROUND(N23-C23*0.85,0)&amp;" vehicles",IF(N23/C23&lt;0.4,"Transfer out "&amp;ROUND(C23*0.5-N23,0),"Hold steady")))</f>
        <v/>
      </c>
    </row>
    <row r="24" customFormat="false" ht="15" hidden="false" customHeight="true" outlineLevel="0" collapsed="false">
      <c r="N24" s="44" t="str">
        <f aca="false">IF(A24="","",ROUND(MAX(0,MIN(C24*1.1,IF(B24="Airport",C24*0.55,IF(B24="Downtown",C24*0.5,IF(B24="Suburban",C24*0.4,IF(B24="College",C24*0.45,C24*0.35))))*(1+0.2*SIN((E24-1)/12*2*PI()-PI()/3))*IF(B24="Airport",CHOOSE(MATCH(D24,{"Monday","Tuesday","Wednesday","Thursday","Friday","Saturday","Sunday"},0),1.05,1.1,1.08,1.12,1.15,0.75,0.7),IF(B24="Downtown",CHOOSE(MATCH(D24,{"Monday","Tuesday","Wednesday","Thursday","Friday","Saturday","Sunday"},0),1,1.05,1.08,1.05,1.1,0.8,0.65),IF(B24="Suburban",CHOOSE(MATCH(D24,{"Monday","Tuesday","Wednesday","Thursday","Friday","Saturday","Sunday"},0),0.8,0.82,0.85,0.88,1.05,1.25,1.2),IF(B24="College",CHOOSE(MATCH(D24,{"Monday","Tuesday","Wednesday","Thursday","Friday","Saturday","Sunday"},0),0.9,0.92,0.95,1,1.15,1.1,0.95),CHOOSE(MATCH(D24,{"Monday","Tuesday","Wednesday","Thursday","Friday","Saturday","Sunday"},0),0.85,0.85,0.88,0.9,1.1,1.2,1.15)))))*IF(F24=1,1.2,1)*IF(G24="Large",2.2,IF(G24="Medium",1.25,IF(G24="Small",1.08,1)))*IF(B24="Airport",1+(IF(H24="Severe",0.6,IF(H24="Snow",0.8,IF(H24="Rain",0.92,1)))-1)*0.3,IF(H24="Severe",0.6,IF(H24="Snow",0.8,IF(H24="Rain",0.92,1))))*(I24*0.4+J24*0.35+K24*0.25)/(IF(B24="Airport",C24*0.55,IF(B24="Downtown",C24*0.5,IF(B24="Suburban",C24*0.4,IF(B24="College",C24*0.45,C24*0.35))))+0.001)*0.3+0.7)),0))</f>
        <v/>
      </c>
      <c r="O24" s="45" t="str">
        <f aca="false">IF(N24="","",ROUND(N24/C24*100,1))</f>
        <v/>
      </c>
      <c r="P24" s="46" t="str">
        <f aca="false">IF(N24="","",IF(N24/C24&gt;=0.9,"SURGE",IF(N24/C24&gt;=0.75,"HIGH",IF(N24/C24&gt;=0.5,"NORMAL","LOW"))))</f>
        <v/>
      </c>
      <c r="Q24" s="47" t="str">
        <f aca="false">IF(N24="","",IF(N24/C24&gt;=0.9,"Request +"&amp;ROUND(N24-C24*0.85,0)&amp;" vehicles",IF(N24/C24&lt;0.4,"Transfer out "&amp;ROUND(C24*0.5-N24,0),"Hold steady")))</f>
        <v/>
      </c>
    </row>
    <row r="25" customFormat="false" ht="15" hidden="false" customHeight="true" outlineLevel="0" collapsed="false">
      <c r="N25" s="44" t="str">
        <f aca="false">IF(A25="","",ROUND(MAX(0,MIN(C25*1.1,IF(B25="Airport",C25*0.55,IF(B25="Downtown",C25*0.5,IF(B25="Suburban",C25*0.4,IF(B25="College",C25*0.45,C25*0.35))))*(1+0.2*SIN((E25-1)/12*2*PI()-PI()/3))*IF(B25="Airport",CHOOSE(MATCH(D25,{"Monday","Tuesday","Wednesday","Thursday","Friday","Saturday","Sunday"},0),1.05,1.1,1.08,1.12,1.15,0.75,0.7),IF(B25="Downtown",CHOOSE(MATCH(D25,{"Monday","Tuesday","Wednesday","Thursday","Friday","Saturday","Sunday"},0),1,1.05,1.08,1.05,1.1,0.8,0.65),IF(B25="Suburban",CHOOSE(MATCH(D25,{"Monday","Tuesday","Wednesday","Thursday","Friday","Saturday","Sunday"},0),0.8,0.82,0.85,0.88,1.05,1.25,1.2),IF(B25="College",CHOOSE(MATCH(D25,{"Monday","Tuesday","Wednesday","Thursday","Friday","Saturday","Sunday"},0),0.9,0.92,0.95,1,1.15,1.1,0.95),CHOOSE(MATCH(D25,{"Monday","Tuesday","Wednesday","Thursday","Friday","Saturday","Sunday"},0),0.85,0.85,0.88,0.9,1.1,1.2,1.15)))))*IF(F25=1,1.2,1)*IF(G25="Large",2.2,IF(G25="Medium",1.25,IF(G25="Small",1.08,1)))*IF(B25="Airport",1+(IF(H25="Severe",0.6,IF(H25="Snow",0.8,IF(H25="Rain",0.92,1)))-1)*0.3,IF(H25="Severe",0.6,IF(H25="Snow",0.8,IF(H25="Rain",0.92,1))))*(I25*0.4+J25*0.35+K25*0.25)/(IF(B25="Airport",C25*0.55,IF(B25="Downtown",C25*0.5,IF(B25="Suburban",C25*0.4,IF(B25="College",C25*0.45,C25*0.35))))+0.001)*0.3+0.7)),0))</f>
        <v/>
      </c>
      <c r="O25" s="45" t="str">
        <f aca="false">IF(N25="","",ROUND(N25/C25*100,1))</f>
        <v/>
      </c>
      <c r="P25" s="46" t="str">
        <f aca="false">IF(N25="","",IF(N25/C25&gt;=0.9,"SURGE",IF(N25/C25&gt;=0.75,"HIGH",IF(N25/C25&gt;=0.5,"NORMAL","LOW"))))</f>
        <v/>
      </c>
      <c r="Q25" s="47" t="str">
        <f aca="false">IF(N25="","",IF(N25/C25&gt;=0.9,"Request +"&amp;ROUND(N25-C25*0.85,0)&amp;" vehicles",IF(N25/C25&lt;0.4,"Transfer out "&amp;ROUND(C25*0.5-N25,0),"Hold steady")))</f>
        <v/>
      </c>
    </row>
    <row r="26" customFormat="false" ht="15" hidden="false" customHeight="true" outlineLevel="0" collapsed="false">
      <c r="N26" s="44" t="str">
        <f aca="false">IF(A26="","",ROUND(MAX(0,MIN(C26*1.1,IF(B26="Airport",C26*0.55,IF(B26="Downtown",C26*0.5,IF(B26="Suburban",C26*0.4,IF(B26="College",C26*0.45,C26*0.35))))*(1+0.2*SIN((E26-1)/12*2*PI()-PI()/3))*IF(B26="Airport",CHOOSE(MATCH(D26,{"Monday","Tuesday","Wednesday","Thursday","Friday","Saturday","Sunday"},0),1.05,1.1,1.08,1.12,1.15,0.75,0.7),IF(B26="Downtown",CHOOSE(MATCH(D26,{"Monday","Tuesday","Wednesday","Thursday","Friday","Saturday","Sunday"},0),1,1.05,1.08,1.05,1.1,0.8,0.65),IF(B26="Suburban",CHOOSE(MATCH(D26,{"Monday","Tuesday","Wednesday","Thursday","Friday","Saturday","Sunday"},0),0.8,0.82,0.85,0.88,1.05,1.25,1.2),IF(B26="College",CHOOSE(MATCH(D26,{"Monday","Tuesday","Wednesday","Thursday","Friday","Saturday","Sunday"},0),0.9,0.92,0.95,1,1.15,1.1,0.95),CHOOSE(MATCH(D26,{"Monday","Tuesday","Wednesday","Thursday","Friday","Saturday","Sunday"},0),0.85,0.85,0.88,0.9,1.1,1.2,1.15)))))*IF(F26=1,1.2,1)*IF(G26="Large",2.2,IF(G26="Medium",1.25,IF(G26="Small",1.08,1)))*IF(B26="Airport",1+(IF(H26="Severe",0.6,IF(H26="Snow",0.8,IF(H26="Rain",0.92,1)))-1)*0.3,IF(H26="Severe",0.6,IF(H26="Snow",0.8,IF(H26="Rain",0.92,1))))*(I26*0.4+J26*0.35+K26*0.25)/(IF(B26="Airport",C26*0.55,IF(B26="Downtown",C26*0.5,IF(B26="Suburban",C26*0.4,IF(B26="College",C26*0.45,C26*0.35))))+0.001)*0.3+0.7)),0))</f>
        <v/>
      </c>
      <c r="O26" s="45" t="str">
        <f aca="false">IF(N26="","",ROUND(N26/C26*100,1))</f>
        <v/>
      </c>
      <c r="P26" s="46" t="str">
        <f aca="false">IF(N26="","",IF(N26/C26&gt;=0.9,"SURGE",IF(N26/C26&gt;=0.75,"HIGH",IF(N26/C26&gt;=0.5,"NORMAL","LOW"))))</f>
        <v/>
      </c>
      <c r="Q26" s="47" t="str">
        <f aca="false">IF(N26="","",IF(N26/C26&gt;=0.9,"Request +"&amp;ROUND(N26-C26*0.85,0)&amp;" vehicles",IF(N26/C26&lt;0.4,"Transfer out "&amp;ROUND(C26*0.5-N26,0),"Hold steady")))</f>
        <v/>
      </c>
    </row>
    <row r="27" customFormat="false" ht="15" hidden="false" customHeight="true" outlineLevel="0" collapsed="false">
      <c r="N27" s="44" t="str">
        <f aca="false">IF(A27="","",ROUND(MAX(0,MIN(C27*1.1,IF(B27="Airport",C27*0.55,IF(B27="Downtown",C27*0.5,IF(B27="Suburban",C27*0.4,IF(B27="College",C27*0.45,C27*0.35))))*(1+0.2*SIN((E27-1)/12*2*PI()-PI()/3))*IF(B27="Airport",CHOOSE(MATCH(D27,{"Monday","Tuesday","Wednesday","Thursday","Friday","Saturday","Sunday"},0),1.05,1.1,1.08,1.12,1.15,0.75,0.7),IF(B27="Downtown",CHOOSE(MATCH(D27,{"Monday","Tuesday","Wednesday","Thursday","Friday","Saturday","Sunday"},0),1,1.05,1.08,1.05,1.1,0.8,0.65),IF(B27="Suburban",CHOOSE(MATCH(D27,{"Monday","Tuesday","Wednesday","Thursday","Friday","Saturday","Sunday"},0),0.8,0.82,0.85,0.88,1.05,1.25,1.2),IF(B27="College",CHOOSE(MATCH(D27,{"Monday","Tuesday","Wednesday","Thursday","Friday","Saturday","Sunday"},0),0.9,0.92,0.95,1,1.15,1.1,0.95),CHOOSE(MATCH(D27,{"Monday","Tuesday","Wednesday","Thursday","Friday","Saturday","Sunday"},0),0.85,0.85,0.88,0.9,1.1,1.2,1.15)))))*IF(F27=1,1.2,1)*IF(G27="Large",2.2,IF(G27="Medium",1.25,IF(G27="Small",1.08,1)))*IF(B27="Airport",1+(IF(H27="Severe",0.6,IF(H27="Snow",0.8,IF(H27="Rain",0.92,1)))-1)*0.3,IF(H27="Severe",0.6,IF(H27="Snow",0.8,IF(H27="Rain",0.92,1))))*(I27*0.4+J27*0.35+K27*0.25)/(IF(B27="Airport",C27*0.55,IF(B27="Downtown",C27*0.5,IF(B27="Suburban",C27*0.4,IF(B27="College",C27*0.45,C27*0.35))))+0.001)*0.3+0.7)),0))</f>
        <v/>
      </c>
      <c r="O27" s="45" t="str">
        <f aca="false">IF(N27="","",ROUND(N27/C27*100,1))</f>
        <v/>
      </c>
      <c r="P27" s="46" t="str">
        <f aca="false">IF(N27="","",IF(N27/C27&gt;=0.9,"SURGE",IF(N27/C27&gt;=0.75,"HIGH",IF(N27/C27&gt;=0.5,"NORMAL","LOW"))))</f>
        <v/>
      </c>
      <c r="Q27" s="47" t="str">
        <f aca="false">IF(N27="","",IF(N27/C27&gt;=0.9,"Request +"&amp;ROUND(N27-C27*0.85,0)&amp;" vehicles",IF(N27/C27&lt;0.4,"Transfer out "&amp;ROUND(C27*0.5-N27,0),"Hold steady")))</f>
        <v/>
      </c>
    </row>
    <row r="28" customFormat="false" ht="15" hidden="false" customHeight="true" outlineLevel="0" collapsed="false">
      <c r="N28" s="44" t="str">
        <f aca="false">IF(A28="","",ROUND(MAX(0,MIN(C28*1.1,IF(B28="Airport",C28*0.55,IF(B28="Downtown",C28*0.5,IF(B28="Suburban",C28*0.4,IF(B28="College",C28*0.45,C28*0.35))))*(1+0.2*SIN((E28-1)/12*2*PI()-PI()/3))*IF(B28="Airport",CHOOSE(MATCH(D28,{"Monday","Tuesday","Wednesday","Thursday","Friday","Saturday","Sunday"},0),1.05,1.1,1.08,1.12,1.15,0.75,0.7),IF(B28="Downtown",CHOOSE(MATCH(D28,{"Monday","Tuesday","Wednesday","Thursday","Friday","Saturday","Sunday"},0),1,1.05,1.08,1.05,1.1,0.8,0.65),IF(B28="Suburban",CHOOSE(MATCH(D28,{"Monday","Tuesday","Wednesday","Thursday","Friday","Saturday","Sunday"},0),0.8,0.82,0.85,0.88,1.05,1.25,1.2),IF(B28="College",CHOOSE(MATCH(D28,{"Monday","Tuesday","Wednesday","Thursday","Friday","Saturday","Sunday"},0),0.9,0.92,0.95,1,1.15,1.1,0.95),CHOOSE(MATCH(D28,{"Monday","Tuesday","Wednesday","Thursday","Friday","Saturday","Sunday"},0),0.85,0.85,0.88,0.9,1.1,1.2,1.15)))))*IF(F28=1,1.2,1)*IF(G28="Large",2.2,IF(G28="Medium",1.25,IF(G28="Small",1.08,1)))*IF(B28="Airport",1+(IF(H28="Severe",0.6,IF(H28="Snow",0.8,IF(H28="Rain",0.92,1)))-1)*0.3,IF(H28="Severe",0.6,IF(H28="Snow",0.8,IF(H28="Rain",0.92,1))))*(I28*0.4+J28*0.35+K28*0.25)/(IF(B28="Airport",C28*0.55,IF(B28="Downtown",C28*0.5,IF(B28="Suburban",C28*0.4,IF(B28="College",C28*0.45,C28*0.35))))+0.001)*0.3+0.7)),0))</f>
        <v/>
      </c>
      <c r="O28" s="45" t="str">
        <f aca="false">IF(N28="","",ROUND(N28/C28*100,1))</f>
        <v/>
      </c>
      <c r="P28" s="46" t="str">
        <f aca="false">IF(N28="","",IF(N28/C28&gt;=0.9,"SURGE",IF(N28/C28&gt;=0.75,"HIGH",IF(N28/C28&gt;=0.5,"NORMAL","LOW"))))</f>
        <v/>
      </c>
      <c r="Q28" s="47" t="str">
        <f aca="false">IF(N28="","",IF(N28/C28&gt;=0.9,"Request +"&amp;ROUND(N28-C28*0.85,0)&amp;" vehicles",IF(N28/C28&lt;0.4,"Transfer out "&amp;ROUND(C28*0.5-N28,0),"Hold steady")))</f>
        <v/>
      </c>
    </row>
    <row r="29" customFormat="false" ht="15" hidden="false" customHeight="true" outlineLevel="0" collapsed="false">
      <c r="N29" s="44" t="str">
        <f aca="false">IF(A29="","",ROUND(MAX(0,MIN(C29*1.1,IF(B29="Airport",C29*0.55,IF(B29="Downtown",C29*0.5,IF(B29="Suburban",C29*0.4,IF(B29="College",C29*0.45,C29*0.35))))*(1+0.2*SIN((E29-1)/12*2*PI()-PI()/3))*IF(B29="Airport",CHOOSE(MATCH(D29,{"Monday","Tuesday","Wednesday","Thursday","Friday","Saturday","Sunday"},0),1.05,1.1,1.08,1.12,1.15,0.75,0.7),IF(B29="Downtown",CHOOSE(MATCH(D29,{"Monday","Tuesday","Wednesday","Thursday","Friday","Saturday","Sunday"},0),1,1.05,1.08,1.05,1.1,0.8,0.65),IF(B29="Suburban",CHOOSE(MATCH(D29,{"Monday","Tuesday","Wednesday","Thursday","Friday","Saturday","Sunday"},0),0.8,0.82,0.85,0.88,1.05,1.25,1.2),IF(B29="College",CHOOSE(MATCH(D29,{"Monday","Tuesday","Wednesday","Thursday","Friday","Saturday","Sunday"},0),0.9,0.92,0.95,1,1.15,1.1,0.95),CHOOSE(MATCH(D29,{"Monday","Tuesday","Wednesday","Thursday","Friday","Saturday","Sunday"},0),0.85,0.85,0.88,0.9,1.1,1.2,1.15)))))*IF(F29=1,1.2,1)*IF(G29="Large",2.2,IF(G29="Medium",1.25,IF(G29="Small",1.08,1)))*IF(B29="Airport",1+(IF(H29="Severe",0.6,IF(H29="Snow",0.8,IF(H29="Rain",0.92,1)))-1)*0.3,IF(H29="Severe",0.6,IF(H29="Snow",0.8,IF(H29="Rain",0.92,1))))*(I29*0.4+J29*0.35+K29*0.25)/(IF(B29="Airport",C29*0.55,IF(B29="Downtown",C29*0.5,IF(B29="Suburban",C29*0.4,IF(B29="College",C29*0.45,C29*0.35))))+0.001)*0.3+0.7)),0))</f>
        <v/>
      </c>
      <c r="O29" s="45" t="str">
        <f aca="false">IF(N29="","",ROUND(N29/C29*100,1))</f>
        <v/>
      </c>
      <c r="P29" s="46" t="str">
        <f aca="false">IF(N29="","",IF(N29/C29&gt;=0.9,"SURGE",IF(N29/C29&gt;=0.75,"HIGH",IF(N29/C29&gt;=0.5,"NORMAL","LOW"))))</f>
        <v/>
      </c>
      <c r="Q29" s="47" t="str">
        <f aca="false">IF(N29="","",IF(N29/C29&gt;=0.9,"Request +"&amp;ROUND(N29-C29*0.85,0)&amp;" vehicles",IF(N29/C29&lt;0.4,"Transfer out "&amp;ROUND(C29*0.5-N29,0),"Hold steady")))</f>
        <v/>
      </c>
    </row>
    <row r="30" customFormat="false" ht="15" hidden="false" customHeight="true" outlineLevel="0" collapsed="false">
      <c r="N30" s="44" t="str">
        <f aca="false">IF(A30="","",ROUND(MAX(0,MIN(C30*1.1,IF(B30="Airport",C30*0.55,IF(B30="Downtown",C30*0.5,IF(B30="Suburban",C30*0.4,IF(B30="College",C30*0.45,C30*0.35))))*(1+0.2*SIN((E30-1)/12*2*PI()-PI()/3))*IF(B30="Airport",CHOOSE(MATCH(D30,{"Monday","Tuesday","Wednesday","Thursday","Friday","Saturday","Sunday"},0),1.05,1.1,1.08,1.12,1.15,0.75,0.7),IF(B30="Downtown",CHOOSE(MATCH(D30,{"Monday","Tuesday","Wednesday","Thursday","Friday","Saturday","Sunday"},0),1,1.05,1.08,1.05,1.1,0.8,0.65),IF(B30="Suburban",CHOOSE(MATCH(D30,{"Monday","Tuesday","Wednesday","Thursday","Friday","Saturday","Sunday"},0),0.8,0.82,0.85,0.88,1.05,1.25,1.2),IF(B30="College",CHOOSE(MATCH(D30,{"Monday","Tuesday","Wednesday","Thursday","Friday","Saturday","Sunday"},0),0.9,0.92,0.95,1,1.15,1.1,0.95),CHOOSE(MATCH(D30,{"Monday","Tuesday","Wednesday","Thursday","Friday","Saturday","Sunday"},0),0.85,0.85,0.88,0.9,1.1,1.2,1.15)))))*IF(F30=1,1.2,1)*IF(G30="Large",2.2,IF(G30="Medium",1.25,IF(G30="Small",1.08,1)))*IF(B30="Airport",1+(IF(H30="Severe",0.6,IF(H30="Snow",0.8,IF(H30="Rain",0.92,1)))-1)*0.3,IF(H30="Severe",0.6,IF(H30="Snow",0.8,IF(H30="Rain",0.92,1))))*(I30*0.4+J30*0.35+K30*0.25)/(IF(B30="Airport",C30*0.55,IF(B30="Downtown",C30*0.5,IF(B30="Suburban",C30*0.4,IF(B30="College",C30*0.45,C30*0.35))))+0.001)*0.3+0.7)),0))</f>
        <v/>
      </c>
      <c r="O30" s="45" t="str">
        <f aca="false">IF(N30="","",ROUND(N30/C30*100,1))</f>
        <v/>
      </c>
      <c r="P30" s="46" t="str">
        <f aca="false">IF(N30="","",IF(N30/C30&gt;=0.9,"SURGE",IF(N30/C30&gt;=0.75,"HIGH",IF(N30/C30&gt;=0.5,"NORMAL","LOW"))))</f>
        <v/>
      </c>
      <c r="Q30" s="47" t="str">
        <f aca="false">IF(N30="","",IF(N30/C30&gt;=0.9,"Request +"&amp;ROUND(N30-C30*0.85,0)&amp;" vehicles",IF(N30/C30&lt;0.4,"Transfer out "&amp;ROUND(C30*0.5-N30,0),"Hold steady")))</f>
        <v/>
      </c>
    </row>
    <row r="31" customFormat="false" ht="15" hidden="false" customHeight="true" outlineLevel="0" collapsed="false">
      <c r="N31" s="44" t="str">
        <f aca="false">IF(A31="","",ROUND(MAX(0,MIN(C31*1.1,IF(B31="Airport",C31*0.55,IF(B31="Downtown",C31*0.5,IF(B31="Suburban",C31*0.4,IF(B31="College",C31*0.45,C31*0.35))))*(1+0.2*SIN((E31-1)/12*2*PI()-PI()/3))*IF(B31="Airport",CHOOSE(MATCH(D31,{"Monday","Tuesday","Wednesday","Thursday","Friday","Saturday","Sunday"},0),1.05,1.1,1.08,1.12,1.15,0.75,0.7),IF(B31="Downtown",CHOOSE(MATCH(D31,{"Monday","Tuesday","Wednesday","Thursday","Friday","Saturday","Sunday"},0),1,1.05,1.08,1.05,1.1,0.8,0.65),IF(B31="Suburban",CHOOSE(MATCH(D31,{"Monday","Tuesday","Wednesday","Thursday","Friday","Saturday","Sunday"},0),0.8,0.82,0.85,0.88,1.05,1.25,1.2),IF(B31="College",CHOOSE(MATCH(D31,{"Monday","Tuesday","Wednesday","Thursday","Friday","Saturday","Sunday"},0),0.9,0.92,0.95,1,1.15,1.1,0.95),CHOOSE(MATCH(D31,{"Monday","Tuesday","Wednesday","Thursday","Friday","Saturday","Sunday"},0),0.85,0.85,0.88,0.9,1.1,1.2,1.15)))))*IF(F31=1,1.2,1)*IF(G31="Large",2.2,IF(G31="Medium",1.25,IF(G31="Small",1.08,1)))*IF(B31="Airport",1+(IF(H31="Severe",0.6,IF(H31="Snow",0.8,IF(H31="Rain",0.92,1)))-1)*0.3,IF(H31="Severe",0.6,IF(H31="Snow",0.8,IF(H31="Rain",0.92,1))))*(I31*0.4+J31*0.35+K31*0.25)/(IF(B31="Airport",C31*0.55,IF(B31="Downtown",C31*0.5,IF(B31="Suburban",C31*0.4,IF(B31="College",C31*0.45,C31*0.35))))+0.001)*0.3+0.7)),0))</f>
        <v/>
      </c>
      <c r="O31" s="45" t="str">
        <f aca="false">IF(N31="","",ROUND(N31/C31*100,1))</f>
        <v/>
      </c>
      <c r="P31" s="46" t="str">
        <f aca="false">IF(N31="","",IF(N31/C31&gt;=0.9,"SURGE",IF(N31/C31&gt;=0.75,"HIGH",IF(N31/C31&gt;=0.5,"NORMAL","LOW"))))</f>
        <v/>
      </c>
      <c r="Q31" s="47" t="str">
        <f aca="false">IF(N31="","",IF(N31/C31&gt;=0.9,"Request +"&amp;ROUND(N31-C31*0.85,0)&amp;" vehicles",IF(N31/C31&lt;0.4,"Transfer out "&amp;ROUND(C31*0.5-N31,0),"Hold steady")))</f>
        <v/>
      </c>
    </row>
    <row r="32" customFormat="false" ht="15" hidden="false" customHeight="true" outlineLevel="0" collapsed="false">
      <c r="N32" s="44" t="str">
        <f aca="false">IF(A32="","",ROUND(MAX(0,MIN(C32*1.1,IF(B32="Airport",C32*0.55,IF(B32="Downtown",C32*0.5,IF(B32="Suburban",C32*0.4,IF(B32="College",C32*0.45,C32*0.35))))*(1+0.2*SIN((E32-1)/12*2*PI()-PI()/3))*IF(B32="Airport",CHOOSE(MATCH(D32,{"Monday","Tuesday","Wednesday","Thursday","Friday","Saturday","Sunday"},0),1.05,1.1,1.08,1.12,1.15,0.75,0.7),IF(B32="Downtown",CHOOSE(MATCH(D32,{"Monday","Tuesday","Wednesday","Thursday","Friday","Saturday","Sunday"},0),1,1.05,1.08,1.05,1.1,0.8,0.65),IF(B32="Suburban",CHOOSE(MATCH(D32,{"Monday","Tuesday","Wednesday","Thursday","Friday","Saturday","Sunday"},0),0.8,0.82,0.85,0.88,1.05,1.25,1.2),IF(B32="College",CHOOSE(MATCH(D32,{"Monday","Tuesday","Wednesday","Thursday","Friday","Saturday","Sunday"},0),0.9,0.92,0.95,1,1.15,1.1,0.95),CHOOSE(MATCH(D32,{"Monday","Tuesday","Wednesday","Thursday","Friday","Saturday","Sunday"},0),0.85,0.85,0.88,0.9,1.1,1.2,1.15)))))*IF(F32=1,1.2,1)*IF(G32="Large",2.2,IF(G32="Medium",1.25,IF(G32="Small",1.08,1)))*IF(B32="Airport",1+(IF(H32="Severe",0.6,IF(H32="Snow",0.8,IF(H32="Rain",0.92,1)))-1)*0.3,IF(H32="Severe",0.6,IF(H32="Snow",0.8,IF(H32="Rain",0.92,1))))*(I32*0.4+J32*0.35+K32*0.25)/(IF(B32="Airport",C32*0.55,IF(B32="Downtown",C32*0.5,IF(B32="Suburban",C32*0.4,IF(B32="College",C32*0.45,C32*0.35))))+0.001)*0.3+0.7)),0))</f>
        <v/>
      </c>
      <c r="O32" s="45" t="str">
        <f aca="false">IF(N32="","",ROUND(N32/C32*100,1))</f>
        <v/>
      </c>
      <c r="P32" s="46" t="str">
        <f aca="false">IF(N32="","",IF(N32/C32&gt;=0.9,"SURGE",IF(N32/C32&gt;=0.75,"HIGH",IF(N32/C32&gt;=0.5,"NORMAL","LOW"))))</f>
        <v/>
      </c>
      <c r="Q32" s="47" t="str">
        <f aca="false">IF(N32="","",IF(N32/C32&gt;=0.9,"Request +"&amp;ROUND(N32-C32*0.85,0)&amp;" vehicles",IF(N32/C32&lt;0.4,"Transfer out "&amp;ROUND(C32*0.5-N32,0),"Hold steady")))</f>
        <v/>
      </c>
    </row>
    <row r="33" customFormat="false" ht="15" hidden="false" customHeight="true" outlineLevel="0" collapsed="false">
      <c r="N33" s="44" t="str">
        <f aca="false">IF(A33="","",ROUND(MAX(0,MIN(C33*1.1,IF(B33="Airport",C33*0.55,IF(B33="Downtown",C33*0.5,IF(B33="Suburban",C33*0.4,IF(B33="College",C33*0.45,C33*0.35))))*(1+0.2*SIN((E33-1)/12*2*PI()-PI()/3))*IF(B33="Airport",CHOOSE(MATCH(D33,{"Monday","Tuesday","Wednesday","Thursday","Friday","Saturday","Sunday"},0),1.05,1.1,1.08,1.12,1.15,0.75,0.7),IF(B33="Downtown",CHOOSE(MATCH(D33,{"Monday","Tuesday","Wednesday","Thursday","Friday","Saturday","Sunday"},0),1,1.05,1.08,1.05,1.1,0.8,0.65),IF(B33="Suburban",CHOOSE(MATCH(D33,{"Monday","Tuesday","Wednesday","Thursday","Friday","Saturday","Sunday"},0),0.8,0.82,0.85,0.88,1.05,1.25,1.2),IF(B33="College",CHOOSE(MATCH(D33,{"Monday","Tuesday","Wednesday","Thursday","Friday","Saturday","Sunday"},0),0.9,0.92,0.95,1,1.15,1.1,0.95),CHOOSE(MATCH(D33,{"Monday","Tuesday","Wednesday","Thursday","Friday","Saturday","Sunday"},0),0.85,0.85,0.88,0.9,1.1,1.2,1.15)))))*IF(F33=1,1.2,1)*IF(G33="Large",2.2,IF(G33="Medium",1.25,IF(G33="Small",1.08,1)))*IF(B33="Airport",1+(IF(H33="Severe",0.6,IF(H33="Snow",0.8,IF(H33="Rain",0.92,1)))-1)*0.3,IF(H33="Severe",0.6,IF(H33="Snow",0.8,IF(H33="Rain",0.92,1))))*(I33*0.4+J33*0.35+K33*0.25)/(IF(B33="Airport",C33*0.55,IF(B33="Downtown",C33*0.5,IF(B33="Suburban",C33*0.4,IF(B33="College",C33*0.45,C33*0.35))))+0.001)*0.3+0.7)),0))</f>
        <v/>
      </c>
      <c r="O33" s="45" t="str">
        <f aca="false">IF(N33="","",ROUND(N33/C33*100,1))</f>
        <v/>
      </c>
      <c r="P33" s="46" t="str">
        <f aca="false">IF(N33="","",IF(N33/C33&gt;=0.9,"SURGE",IF(N33/C33&gt;=0.75,"HIGH",IF(N33/C33&gt;=0.5,"NORMAL","LOW"))))</f>
        <v/>
      </c>
      <c r="Q33" s="47" t="str">
        <f aca="false">IF(N33="","",IF(N33/C33&gt;=0.9,"Request +"&amp;ROUND(N33-C33*0.85,0)&amp;" vehicles",IF(N33/C33&lt;0.4,"Transfer out "&amp;ROUND(C33*0.5-N33,0),"Hold steady")))</f>
        <v/>
      </c>
    </row>
    <row r="34" customFormat="false" ht="15" hidden="false" customHeight="true" outlineLevel="0" collapsed="false">
      <c r="N34" s="44" t="str">
        <f aca="false">IF(A34="","",ROUND(MAX(0,MIN(C34*1.1,IF(B34="Airport",C34*0.55,IF(B34="Downtown",C34*0.5,IF(B34="Suburban",C34*0.4,IF(B34="College",C34*0.45,C34*0.35))))*(1+0.2*SIN((E34-1)/12*2*PI()-PI()/3))*IF(B34="Airport",CHOOSE(MATCH(D34,{"Monday","Tuesday","Wednesday","Thursday","Friday","Saturday","Sunday"},0),1.05,1.1,1.08,1.12,1.15,0.75,0.7),IF(B34="Downtown",CHOOSE(MATCH(D34,{"Monday","Tuesday","Wednesday","Thursday","Friday","Saturday","Sunday"},0),1,1.05,1.08,1.05,1.1,0.8,0.65),IF(B34="Suburban",CHOOSE(MATCH(D34,{"Monday","Tuesday","Wednesday","Thursday","Friday","Saturday","Sunday"},0),0.8,0.82,0.85,0.88,1.05,1.25,1.2),IF(B34="College",CHOOSE(MATCH(D34,{"Monday","Tuesday","Wednesday","Thursday","Friday","Saturday","Sunday"},0),0.9,0.92,0.95,1,1.15,1.1,0.95),CHOOSE(MATCH(D34,{"Monday","Tuesday","Wednesday","Thursday","Friday","Saturday","Sunday"},0),0.85,0.85,0.88,0.9,1.1,1.2,1.15)))))*IF(F34=1,1.2,1)*IF(G34="Large",2.2,IF(G34="Medium",1.25,IF(G34="Small",1.08,1)))*IF(B34="Airport",1+(IF(H34="Severe",0.6,IF(H34="Snow",0.8,IF(H34="Rain",0.92,1)))-1)*0.3,IF(H34="Severe",0.6,IF(H34="Snow",0.8,IF(H34="Rain",0.92,1))))*(I34*0.4+J34*0.35+K34*0.25)/(IF(B34="Airport",C34*0.55,IF(B34="Downtown",C34*0.5,IF(B34="Suburban",C34*0.4,IF(B34="College",C34*0.45,C34*0.35))))+0.001)*0.3+0.7)),0))</f>
        <v/>
      </c>
      <c r="O34" s="45" t="str">
        <f aca="false">IF(N34="","",ROUND(N34/C34*100,1))</f>
        <v/>
      </c>
      <c r="P34" s="46" t="str">
        <f aca="false">IF(N34="","",IF(N34/C34&gt;=0.9,"SURGE",IF(N34/C34&gt;=0.75,"HIGH",IF(N34/C34&gt;=0.5,"NORMAL","LOW"))))</f>
        <v/>
      </c>
      <c r="Q34" s="47" t="str">
        <f aca="false">IF(N34="","",IF(N34/C34&gt;=0.9,"Request +"&amp;ROUND(N34-C34*0.85,0)&amp;" vehicles",IF(N34/C34&lt;0.4,"Transfer out "&amp;ROUND(C34*0.5-N34,0),"Hold steady")))</f>
        <v/>
      </c>
    </row>
    <row r="35" customFormat="false" ht="15" hidden="false" customHeight="true" outlineLevel="0" collapsed="false">
      <c r="N35" s="44" t="str">
        <f aca="false">IF(A35="","",ROUND(MAX(0,MIN(C35*1.1,IF(B35="Airport",C35*0.55,IF(B35="Downtown",C35*0.5,IF(B35="Suburban",C35*0.4,IF(B35="College",C35*0.45,C35*0.35))))*(1+0.2*SIN((E35-1)/12*2*PI()-PI()/3))*IF(B35="Airport",CHOOSE(MATCH(D35,{"Monday","Tuesday","Wednesday","Thursday","Friday","Saturday","Sunday"},0),1.05,1.1,1.08,1.12,1.15,0.75,0.7),IF(B35="Downtown",CHOOSE(MATCH(D35,{"Monday","Tuesday","Wednesday","Thursday","Friday","Saturday","Sunday"},0),1,1.05,1.08,1.05,1.1,0.8,0.65),IF(B35="Suburban",CHOOSE(MATCH(D35,{"Monday","Tuesday","Wednesday","Thursday","Friday","Saturday","Sunday"},0),0.8,0.82,0.85,0.88,1.05,1.25,1.2),IF(B35="College",CHOOSE(MATCH(D35,{"Monday","Tuesday","Wednesday","Thursday","Friday","Saturday","Sunday"},0),0.9,0.92,0.95,1,1.15,1.1,0.95),CHOOSE(MATCH(D35,{"Monday","Tuesday","Wednesday","Thursday","Friday","Saturday","Sunday"},0),0.85,0.85,0.88,0.9,1.1,1.2,1.15)))))*IF(F35=1,1.2,1)*IF(G35="Large",2.2,IF(G35="Medium",1.25,IF(G35="Small",1.08,1)))*IF(B35="Airport",1+(IF(H35="Severe",0.6,IF(H35="Snow",0.8,IF(H35="Rain",0.92,1)))-1)*0.3,IF(H35="Severe",0.6,IF(H35="Snow",0.8,IF(H35="Rain",0.92,1))))*(I35*0.4+J35*0.35+K35*0.25)/(IF(B35="Airport",C35*0.55,IF(B35="Downtown",C35*0.5,IF(B35="Suburban",C35*0.4,IF(B35="College",C35*0.45,C35*0.35))))+0.001)*0.3+0.7)),0))</f>
        <v/>
      </c>
      <c r="O35" s="45" t="str">
        <f aca="false">IF(N35="","",ROUND(N35/C35*100,1))</f>
        <v/>
      </c>
      <c r="P35" s="46" t="str">
        <f aca="false">IF(N35="","",IF(N35/C35&gt;=0.9,"SURGE",IF(N35/C35&gt;=0.75,"HIGH",IF(N35/C35&gt;=0.5,"NORMAL","LOW"))))</f>
        <v/>
      </c>
      <c r="Q35" s="47" t="str">
        <f aca="false">IF(N35="","",IF(N35/C35&gt;=0.9,"Request +"&amp;ROUND(N35-C35*0.85,0)&amp;" vehicles",IF(N35/C35&lt;0.4,"Transfer out "&amp;ROUND(C35*0.5-N35,0),"Hold steady")))</f>
        <v/>
      </c>
    </row>
    <row r="36" customFormat="false" ht="15" hidden="false" customHeight="true" outlineLevel="0" collapsed="false">
      <c r="N36" s="44" t="str">
        <f aca="false">IF(A36="","",ROUND(MAX(0,MIN(C36*1.1,IF(B36="Airport",C36*0.55,IF(B36="Downtown",C36*0.5,IF(B36="Suburban",C36*0.4,IF(B36="College",C36*0.45,C36*0.35))))*(1+0.2*SIN((E36-1)/12*2*PI()-PI()/3))*IF(B36="Airport",CHOOSE(MATCH(D36,{"Monday","Tuesday","Wednesday","Thursday","Friday","Saturday","Sunday"},0),1.05,1.1,1.08,1.12,1.15,0.75,0.7),IF(B36="Downtown",CHOOSE(MATCH(D36,{"Monday","Tuesday","Wednesday","Thursday","Friday","Saturday","Sunday"},0),1,1.05,1.08,1.05,1.1,0.8,0.65),IF(B36="Suburban",CHOOSE(MATCH(D36,{"Monday","Tuesday","Wednesday","Thursday","Friday","Saturday","Sunday"},0),0.8,0.82,0.85,0.88,1.05,1.25,1.2),IF(B36="College",CHOOSE(MATCH(D36,{"Monday","Tuesday","Wednesday","Thursday","Friday","Saturday","Sunday"},0),0.9,0.92,0.95,1,1.15,1.1,0.95),CHOOSE(MATCH(D36,{"Monday","Tuesday","Wednesday","Thursday","Friday","Saturday","Sunday"},0),0.85,0.85,0.88,0.9,1.1,1.2,1.15)))))*IF(F36=1,1.2,1)*IF(G36="Large",2.2,IF(G36="Medium",1.25,IF(G36="Small",1.08,1)))*IF(B36="Airport",1+(IF(H36="Severe",0.6,IF(H36="Snow",0.8,IF(H36="Rain",0.92,1)))-1)*0.3,IF(H36="Severe",0.6,IF(H36="Snow",0.8,IF(H36="Rain",0.92,1))))*(I36*0.4+J36*0.35+K36*0.25)/(IF(B36="Airport",C36*0.55,IF(B36="Downtown",C36*0.5,IF(B36="Suburban",C36*0.4,IF(B36="College",C36*0.45,C36*0.35))))+0.001)*0.3+0.7)),0))</f>
        <v/>
      </c>
      <c r="O36" s="45" t="str">
        <f aca="false">IF(N36="","",ROUND(N36/C36*100,1))</f>
        <v/>
      </c>
      <c r="P36" s="46" t="str">
        <f aca="false">IF(N36="","",IF(N36/C36&gt;=0.9,"SURGE",IF(N36/C36&gt;=0.75,"HIGH",IF(N36/C36&gt;=0.5,"NORMAL","LOW"))))</f>
        <v/>
      </c>
      <c r="Q36" s="47" t="str">
        <f aca="false">IF(N36="","",IF(N36/C36&gt;=0.9,"Request +"&amp;ROUND(N36-C36*0.85,0)&amp;" vehicles",IF(N36/C36&lt;0.4,"Transfer out "&amp;ROUND(C36*0.5-N36,0),"Hold steady")))</f>
        <v/>
      </c>
    </row>
    <row r="37" customFormat="false" ht="15" hidden="false" customHeight="true" outlineLevel="0" collapsed="false">
      <c r="N37" s="44" t="str">
        <f aca="false">IF(A37="","",ROUND(MAX(0,MIN(C37*1.1,IF(B37="Airport",C37*0.55,IF(B37="Downtown",C37*0.5,IF(B37="Suburban",C37*0.4,IF(B37="College",C37*0.45,C37*0.35))))*(1+0.2*SIN((E37-1)/12*2*PI()-PI()/3))*IF(B37="Airport",CHOOSE(MATCH(D37,{"Monday","Tuesday","Wednesday","Thursday","Friday","Saturday","Sunday"},0),1.05,1.1,1.08,1.12,1.15,0.75,0.7),IF(B37="Downtown",CHOOSE(MATCH(D37,{"Monday","Tuesday","Wednesday","Thursday","Friday","Saturday","Sunday"},0),1,1.05,1.08,1.05,1.1,0.8,0.65),IF(B37="Suburban",CHOOSE(MATCH(D37,{"Monday","Tuesday","Wednesday","Thursday","Friday","Saturday","Sunday"},0),0.8,0.82,0.85,0.88,1.05,1.25,1.2),IF(B37="College",CHOOSE(MATCH(D37,{"Monday","Tuesday","Wednesday","Thursday","Friday","Saturday","Sunday"},0),0.9,0.92,0.95,1,1.15,1.1,0.95),CHOOSE(MATCH(D37,{"Monday","Tuesday","Wednesday","Thursday","Friday","Saturday","Sunday"},0),0.85,0.85,0.88,0.9,1.1,1.2,1.15)))))*IF(F37=1,1.2,1)*IF(G37="Large",2.2,IF(G37="Medium",1.25,IF(G37="Small",1.08,1)))*IF(B37="Airport",1+(IF(H37="Severe",0.6,IF(H37="Snow",0.8,IF(H37="Rain",0.92,1)))-1)*0.3,IF(H37="Severe",0.6,IF(H37="Snow",0.8,IF(H37="Rain",0.92,1))))*(I37*0.4+J37*0.35+K37*0.25)/(IF(B37="Airport",C37*0.55,IF(B37="Downtown",C37*0.5,IF(B37="Suburban",C37*0.4,IF(B37="College",C37*0.45,C37*0.35))))+0.001)*0.3+0.7)),0))</f>
        <v/>
      </c>
      <c r="O37" s="45" t="str">
        <f aca="false">IF(N37="","",ROUND(N37/C37*100,1))</f>
        <v/>
      </c>
      <c r="P37" s="46" t="str">
        <f aca="false">IF(N37="","",IF(N37/C37&gt;=0.9,"SURGE",IF(N37/C37&gt;=0.75,"HIGH",IF(N37/C37&gt;=0.5,"NORMAL","LOW"))))</f>
        <v/>
      </c>
      <c r="Q37" s="47" t="str">
        <f aca="false">IF(N37="","",IF(N37/C37&gt;=0.9,"Request +"&amp;ROUND(N37-C37*0.85,0)&amp;" vehicles",IF(N37/C37&lt;0.4,"Transfer out "&amp;ROUND(C37*0.5-N37,0),"Hold steady")))</f>
        <v/>
      </c>
    </row>
    <row r="38" customFormat="false" ht="15" hidden="false" customHeight="true" outlineLevel="0" collapsed="false">
      <c r="N38" s="44" t="str">
        <f aca="false">IF(A38="","",ROUND(MAX(0,MIN(C38*1.1,IF(B38="Airport",C38*0.55,IF(B38="Downtown",C38*0.5,IF(B38="Suburban",C38*0.4,IF(B38="College",C38*0.45,C38*0.35))))*(1+0.2*SIN((E38-1)/12*2*PI()-PI()/3))*IF(B38="Airport",CHOOSE(MATCH(D38,{"Monday","Tuesday","Wednesday","Thursday","Friday","Saturday","Sunday"},0),1.05,1.1,1.08,1.12,1.15,0.75,0.7),IF(B38="Downtown",CHOOSE(MATCH(D38,{"Monday","Tuesday","Wednesday","Thursday","Friday","Saturday","Sunday"},0),1,1.05,1.08,1.05,1.1,0.8,0.65),IF(B38="Suburban",CHOOSE(MATCH(D38,{"Monday","Tuesday","Wednesday","Thursday","Friday","Saturday","Sunday"},0),0.8,0.82,0.85,0.88,1.05,1.25,1.2),IF(B38="College",CHOOSE(MATCH(D38,{"Monday","Tuesday","Wednesday","Thursday","Friday","Saturday","Sunday"},0),0.9,0.92,0.95,1,1.15,1.1,0.95),CHOOSE(MATCH(D38,{"Monday","Tuesday","Wednesday","Thursday","Friday","Saturday","Sunday"},0),0.85,0.85,0.88,0.9,1.1,1.2,1.15)))))*IF(F38=1,1.2,1)*IF(G38="Large",2.2,IF(G38="Medium",1.25,IF(G38="Small",1.08,1)))*IF(B38="Airport",1+(IF(H38="Severe",0.6,IF(H38="Snow",0.8,IF(H38="Rain",0.92,1)))-1)*0.3,IF(H38="Severe",0.6,IF(H38="Snow",0.8,IF(H38="Rain",0.92,1))))*(I38*0.4+J38*0.35+K38*0.25)/(IF(B38="Airport",C38*0.55,IF(B38="Downtown",C38*0.5,IF(B38="Suburban",C38*0.4,IF(B38="College",C38*0.45,C38*0.35))))+0.001)*0.3+0.7)),0))</f>
        <v/>
      </c>
      <c r="O38" s="45" t="str">
        <f aca="false">IF(N38="","",ROUND(N38/C38*100,1))</f>
        <v/>
      </c>
      <c r="P38" s="46" t="str">
        <f aca="false">IF(N38="","",IF(N38/C38&gt;=0.9,"SURGE",IF(N38/C38&gt;=0.75,"HIGH",IF(N38/C38&gt;=0.5,"NORMAL","LOW"))))</f>
        <v/>
      </c>
      <c r="Q38" s="47" t="str">
        <f aca="false">IF(N38="","",IF(N38/C38&gt;=0.9,"Request +"&amp;ROUND(N38-C38*0.85,0)&amp;" vehicles",IF(N38/C38&lt;0.4,"Transfer out "&amp;ROUND(C38*0.5-N38,0),"Hold steady")))</f>
        <v/>
      </c>
    </row>
    <row r="39" customFormat="false" ht="15" hidden="false" customHeight="true" outlineLevel="0" collapsed="false">
      <c r="N39" s="44" t="str">
        <f aca="false">IF(A39="","",ROUND(MAX(0,MIN(C39*1.1,IF(B39="Airport",C39*0.55,IF(B39="Downtown",C39*0.5,IF(B39="Suburban",C39*0.4,IF(B39="College",C39*0.45,C39*0.35))))*(1+0.2*SIN((E39-1)/12*2*PI()-PI()/3))*IF(B39="Airport",CHOOSE(MATCH(D39,{"Monday","Tuesday","Wednesday","Thursday","Friday","Saturday","Sunday"},0),1.05,1.1,1.08,1.12,1.15,0.75,0.7),IF(B39="Downtown",CHOOSE(MATCH(D39,{"Monday","Tuesday","Wednesday","Thursday","Friday","Saturday","Sunday"},0),1,1.05,1.08,1.05,1.1,0.8,0.65),IF(B39="Suburban",CHOOSE(MATCH(D39,{"Monday","Tuesday","Wednesday","Thursday","Friday","Saturday","Sunday"},0),0.8,0.82,0.85,0.88,1.05,1.25,1.2),IF(B39="College",CHOOSE(MATCH(D39,{"Monday","Tuesday","Wednesday","Thursday","Friday","Saturday","Sunday"},0),0.9,0.92,0.95,1,1.15,1.1,0.95),CHOOSE(MATCH(D39,{"Monday","Tuesday","Wednesday","Thursday","Friday","Saturday","Sunday"},0),0.85,0.85,0.88,0.9,1.1,1.2,1.15)))))*IF(F39=1,1.2,1)*IF(G39="Large",2.2,IF(G39="Medium",1.25,IF(G39="Small",1.08,1)))*IF(B39="Airport",1+(IF(H39="Severe",0.6,IF(H39="Snow",0.8,IF(H39="Rain",0.92,1)))-1)*0.3,IF(H39="Severe",0.6,IF(H39="Snow",0.8,IF(H39="Rain",0.92,1))))*(I39*0.4+J39*0.35+K39*0.25)/(IF(B39="Airport",C39*0.55,IF(B39="Downtown",C39*0.5,IF(B39="Suburban",C39*0.4,IF(B39="College",C39*0.45,C39*0.35))))+0.001)*0.3+0.7)),0))</f>
        <v/>
      </c>
      <c r="O39" s="45" t="str">
        <f aca="false">IF(N39="","",ROUND(N39/C39*100,1))</f>
        <v/>
      </c>
      <c r="P39" s="46" t="str">
        <f aca="false">IF(N39="","",IF(N39/C39&gt;=0.9,"SURGE",IF(N39/C39&gt;=0.75,"HIGH",IF(N39/C39&gt;=0.5,"NORMAL","LOW"))))</f>
        <v/>
      </c>
      <c r="Q39" s="47" t="str">
        <f aca="false">IF(N39="","",IF(N39/C39&gt;=0.9,"Request +"&amp;ROUND(N39-C39*0.85,0)&amp;" vehicles",IF(N39/C39&lt;0.4,"Transfer out "&amp;ROUND(C39*0.5-N39,0),"Hold steady")))</f>
        <v/>
      </c>
    </row>
    <row r="40" customFormat="false" ht="15" hidden="false" customHeight="true" outlineLevel="0" collapsed="false">
      <c r="N40" s="44" t="str">
        <f aca="false">IF(A40="","",ROUND(MAX(0,MIN(C40*1.1,IF(B40="Airport",C40*0.55,IF(B40="Downtown",C40*0.5,IF(B40="Suburban",C40*0.4,IF(B40="College",C40*0.45,C40*0.35))))*(1+0.2*SIN((E40-1)/12*2*PI()-PI()/3))*IF(B40="Airport",CHOOSE(MATCH(D40,{"Monday","Tuesday","Wednesday","Thursday","Friday","Saturday","Sunday"},0),1.05,1.1,1.08,1.12,1.15,0.75,0.7),IF(B40="Downtown",CHOOSE(MATCH(D40,{"Monday","Tuesday","Wednesday","Thursday","Friday","Saturday","Sunday"},0),1,1.05,1.08,1.05,1.1,0.8,0.65),IF(B40="Suburban",CHOOSE(MATCH(D40,{"Monday","Tuesday","Wednesday","Thursday","Friday","Saturday","Sunday"},0),0.8,0.82,0.85,0.88,1.05,1.25,1.2),IF(B40="College",CHOOSE(MATCH(D40,{"Monday","Tuesday","Wednesday","Thursday","Friday","Saturday","Sunday"},0),0.9,0.92,0.95,1,1.15,1.1,0.95),CHOOSE(MATCH(D40,{"Monday","Tuesday","Wednesday","Thursday","Friday","Saturday","Sunday"},0),0.85,0.85,0.88,0.9,1.1,1.2,1.15)))))*IF(F40=1,1.2,1)*IF(G40="Large",2.2,IF(G40="Medium",1.25,IF(G40="Small",1.08,1)))*IF(B40="Airport",1+(IF(H40="Severe",0.6,IF(H40="Snow",0.8,IF(H40="Rain",0.92,1)))-1)*0.3,IF(H40="Severe",0.6,IF(H40="Snow",0.8,IF(H40="Rain",0.92,1))))*(I40*0.4+J40*0.35+K40*0.25)/(IF(B40="Airport",C40*0.55,IF(B40="Downtown",C40*0.5,IF(B40="Suburban",C40*0.4,IF(B40="College",C40*0.45,C40*0.35))))+0.001)*0.3+0.7)),0))</f>
        <v/>
      </c>
      <c r="O40" s="45" t="str">
        <f aca="false">IF(N40="","",ROUND(N40/C40*100,1))</f>
        <v/>
      </c>
      <c r="P40" s="46" t="str">
        <f aca="false">IF(N40="","",IF(N40/C40&gt;=0.9,"SURGE",IF(N40/C40&gt;=0.75,"HIGH",IF(N40/C40&gt;=0.5,"NORMAL","LOW"))))</f>
        <v/>
      </c>
      <c r="Q40" s="47" t="str">
        <f aca="false">IF(N40="","",IF(N40/C40&gt;=0.9,"Request +"&amp;ROUND(N40-C40*0.85,0)&amp;" vehicles",IF(N40/C40&lt;0.4,"Transfer out "&amp;ROUND(C40*0.5-N40,0),"Hold steady")))</f>
        <v/>
      </c>
    </row>
    <row r="41" customFormat="false" ht="15" hidden="false" customHeight="true" outlineLevel="0" collapsed="false">
      <c r="N41" s="44" t="str">
        <f aca="false">IF(A41="","",ROUND(MAX(0,MIN(C41*1.1,IF(B41="Airport",C41*0.55,IF(B41="Downtown",C41*0.5,IF(B41="Suburban",C41*0.4,IF(B41="College",C41*0.45,C41*0.35))))*(1+0.2*SIN((E41-1)/12*2*PI()-PI()/3))*IF(B41="Airport",CHOOSE(MATCH(D41,{"Monday","Tuesday","Wednesday","Thursday","Friday","Saturday","Sunday"},0),1.05,1.1,1.08,1.12,1.15,0.75,0.7),IF(B41="Downtown",CHOOSE(MATCH(D41,{"Monday","Tuesday","Wednesday","Thursday","Friday","Saturday","Sunday"},0),1,1.05,1.08,1.05,1.1,0.8,0.65),IF(B41="Suburban",CHOOSE(MATCH(D41,{"Monday","Tuesday","Wednesday","Thursday","Friday","Saturday","Sunday"},0),0.8,0.82,0.85,0.88,1.05,1.25,1.2),IF(B41="College",CHOOSE(MATCH(D41,{"Monday","Tuesday","Wednesday","Thursday","Friday","Saturday","Sunday"},0),0.9,0.92,0.95,1,1.15,1.1,0.95),CHOOSE(MATCH(D41,{"Monday","Tuesday","Wednesday","Thursday","Friday","Saturday","Sunday"},0),0.85,0.85,0.88,0.9,1.1,1.2,1.15)))))*IF(F41=1,1.2,1)*IF(G41="Large",2.2,IF(G41="Medium",1.25,IF(G41="Small",1.08,1)))*IF(B41="Airport",1+(IF(H41="Severe",0.6,IF(H41="Snow",0.8,IF(H41="Rain",0.92,1)))-1)*0.3,IF(H41="Severe",0.6,IF(H41="Snow",0.8,IF(H41="Rain",0.92,1))))*(I41*0.4+J41*0.35+K41*0.25)/(IF(B41="Airport",C41*0.55,IF(B41="Downtown",C41*0.5,IF(B41="Suburban",C41*0.4,IF(B41="College",C41*0.45,C41*0.35))))+0.001)*0.3+0.7)),0))</f>
        <v/>
      </c>
      <c r="O41" s="45" t="str">
        <f aca="false">IF(N41="","",ROUND(N41/C41*100,1))</f>
        <v/>
      </c>
      <c r="P41" s="46" t="str">
        <f aca="false">IF(N41="","",IF(N41/C41&gt;=0.9,"SURGE",IF(N41/C41&gt;=0.75,"HIGH",IF(N41/C41&gt;=0.5,"NORMAL","LOW"))))</f>
        <v/>
      </c>
      <c r="Q41" s="47" t="str">
        <f aca="false">IF(N41="","",IF(N41/C41&gt;=0.9,"Request +"&amp;ROUND(N41-C41*0.85,0)&amp;" vehicles",IF(N41/C41&lt;0.4,"Transfer out "&amp;ROUND(C41*0.5-N41,0),"Hold steady")))</f>
        <v/>
      </c>
    </row>
    <row r="42" customFormat="false" ht="15" hidden="false" customHeight="true" outlineLevel="0" collapsed="false">
      <c r="N42" s="44" t="str">
        <f aca="false">IF(A42="","",ROUND(MAX(0,MIN(C42*1.1,IF(B42="Airport",C42*0.55,IF(B42="Downtown",C42*0.5,IF(B42="Suburban",C42*0.4,IF(B42="College",C42*0.45,C42*0.35))))*(1+0.2*SIN((E42-1)/12*2*PI()-PI()/3))*IF(B42="Airport",CHOOSE(MATCH(D42,{"Monday","Tuesday","Wednesday","Thursday","Friday","Saturday","Sunday"},0),1.05,1.1,1.08,1.12,1.15,0.75,0.7),IF(B42="Downtown",CHOOSE(MATCH(D42,{"Monday","Tuesday","Wednesday","Thursday","Friday","Saturday","Sunday"},0),1,1.05,1.08,1.05,1.1,0.8,0.65),IF(B42="Suburban",CHOOSE(MATCH(D42,{"Monday","Tuesday","Wednesday","Thursday","Friday","Saturday","Sunday"},0),0.8,0.82,0.85,0.88,1.05,1.25,1.2),IF(B42="College",CHOOSE(MATCH(D42,{"Monday","Tuesday","Wednesday","Thursday","Friday","Saturday","Sunday"},0),0.9,0.92,0.95,1,1.15,1.1,0.95),CHOOSE(MATCH(D42,{"Monday","Tuesday","Wednesday","Thursday","Friday","Saturday","Sunday"},0),0.85,0.85,0.88,0.9,1.1,1.2,1.15)))))*IF(F42=1,1.2,1)*IF(G42="Large",2.2,IF(G42="Medium",1.25,IF(G42="Small",1.08,1)))*IF(B42="Airport",1+(IF(H42="Severe",0.6,IF(H42="Snow",0.8,IF(H42="Rain",0.92,1)))-1)*0.3,IF(H42="Severe",0.6,IF(H42="Snow",0.8,IF(H42="Rain",0.92,1))))*(I42*0.4+J42*0.35+K42*0.25)/(IF(B42="Airport",C42*0.55,IF(B42="Downtown",C42*0.5,IF(B42="Suburban",C42*0.4,IF(B42="College",C42*0.45,C42*0.35))))+0.001)*0.3+0.7)),0))</f>
        <v/>
      </c>
      <c r="O42" s="45" t="str">
        <f aca="false">IF(N42="","",ROUND(N42/C42*100,1))</f>
        <v/>
      </c>
      <c r="P42" s="46" t="str">
        <f aca="false">IF(N42="","",IF(N42/C42&gt;=0.9,"SURGE",IF(N42/C42&gt;=0.75,"HIGH",IF(N42/C42&gt;=0.5,"NORMAL","LOW"))))</f>
        <v/>
      </c>
      <c r="Q42" s="47" t="str">
        <f aca="false">IF(N42="","",IF(N42/C42&gt;=0.9,"Request +"&amp;ROUND(N42-C42*0.85,0)&amp;" vehicles",IF(N42/C42&lt;0.4,"Transfer out "&amp;ROUND(C42*0.5-N42,0),"Hold steady")))</f>
        <v/>
      </c>
    </row>
    <row r="43" customFormat="false" ht="15" hidden="false" customHeight="true" outlineLevel="0" collapsed="false">
      <c r="N43" s="44" t="str">
        <f aca="false">IF(A43="","",ROUND(MAX(0,MIN(C43*1.1,IF(B43="Airport",C43*0.55,IF(B43="Downtown",C43*0.5,IF(B43="Suburban",C43*0.4,IF(B43="College",C43*0.45,C43*0.35))))*(1+0.2*SIN((E43-1)/12*2*PI()-PI()/3))*IF(B43="Airport",CHOOSE(MATCH(D43,{"Monday","Tuesday","Wednesday","Thursday","Friday","Saturday","Sunday"},0),1.05,1.1,1.08,1.12,1.15,0.75,0.7),IF(B43="Downtown",CHOOSE(MATCH(D43,{"Monday","Tuesday","Wednesday","Thursday","Friday","Saturday","Sunday"},0),1,1.05,1.08,1.05,1.1,0.8,0.65),IF(B43="Suburban",CHOOSE(MATCH(D43,{"Monday","Tuesday","Wednesday","Thursday","Friday","Saturday","Sunday"},0),0.8,0.82,0.85,0.88,1.05,1.25,1.2),IF(B43="College",CHOOSE(MATCH(D43,{"Monday","Tuesday","Wednesday","Thursday","Friday","Saturday","Sunday"},0),0.9,0.92,0.95,1,1.15,1.1,0.95),CHOOSE(MATCH(D43,{"Monday","Tuesday","Wednesday","Thursday","Friday","Saturday","Sunday"},0),0.85,0.85,0.88,0.9,1.1,1.2,1.15)))))*IF(F43=1,1.2,1)*IF(G43="Large",2.2,IF(G43="Medium",1.25,IF(G43="Small",1.08,1)))*IF(B43="Airport",1+(IF(H43="Severe",0.6,IF(H43="Snow",0.8,IF(H43="Rain",0.92,1)))-1)*0.3,IF(H43="Severe",0.6,IF(H43="Snow",0.8,IF(H43="Rain",0.92,1))))*(I43*0.4+J43*0.35+K43*0.25)/(IF(B43="Airport",C43*0.55,IF(B43="Downtown",C43*0.5,IF(B43="Suburban",C43*0.4,IF(B43="College",C43*0.45,C43*0.35))))+0.001)*0.3+0.7)),0))</f>
        <v/>
      </c>
      <c r="O43" s="45" t="str">
        <f aca="false">IF(N43="","",ROUND(N43/C43*100,1))</f>
        <v/>
      </c>
      <c r="P43" s="46" t="str">
        <f aca="false">IF(N43="","",IF(N43/C43&gt;=0.9,"SURGE",IF(N43/C43&gt;=0.75,"HIGH",IF(N43/C43&gt;=0.5,"NORMAL","LOW"))))</f>
        <v/>
      </c>
      <c r="Q43" s="47" t="str">
        <f aca="false">IF(N43="","",IF(N43/C43&gt;=0.9,"Request +"&amp;ROUND(N43-C43*0.85,0)&amp;" vehicles",IF(N43/C43&lt;0.4,"Transfer out "&amp;ROUND(C43*0.5-N43,0),"Hold steady")))</f>
        <v/>
      </c>
    </row>
    <row r="44" customFormat="false" ht="15" hidden="false" customHeight="true" outlineLevel="0" collapsed="false">
      <c r="N44" s="44" t="str">
        <f aca="false">IF(A44="","",ROUND(MAX(0,MIN(C44*1.1,IF(B44="Airport",C44*0.55,IF(B44="Downtown",C44*0.5,IF(B44="Suburban",C44*0.4,IF(B44="College",C44*0.45,C44*0.35))))*(1+0.2*SIN((E44-1)/12*2*PI()-PI()/3))*IF(B44="Airport",CHOOSE(MATCH(D44,{"Monday","Tuesday","Wednesday","Thursday","Friday","Saturday","Sunday"},0),1.05,1.1,1.08,1.12,1.15,0.75,0.7),IF(B44="Downtown",CHOOSE(MATCH(D44,{"Monday","Tuesday","Wednesday","Thursday","Friday","Saturday","Sunday"},0),1,1.05,1.08,1.05,1.1,0.8,0.65),IF(B44="Suburban",CHOOSE(MATCH(D44,{"Monday","Tuesday","Wednesday","Thursday","Friday","Saturday","Sunday"},0),0.8,0.82,0.85,0.88,1.05,1.25,1.2),IF(B44="College",CHOOSE(MATCH(D44,{"Monday","Tuesday","Wednesday","Thursday","Friday","Saturday","Sunday"},0),0.9,0.92,0.95,1,1.15,1.1,0.95),CHOOSE(MATCH(D44,{"Monday","Tuesday","Wednesday","Thursday","Friday","Saturday","Sunday"},0),0.85,0.85,0.88,0.9,1.1,1.2,1.15)))))*IF(F44=1,1.2,1)*IF(G44="Large",2.2,IF(G44="Medium",1.25,IF(G44="Small",1.08,1)))*IF(B44="Airport",1+(IF(H44="Severe",0.6,IF(H44="Snow",0.8,IF(H44="Rain",0.92,1)))-1)*0.3,IF(H44="Severe",0.6,IF(H44="Snow",0.8,IF(H44="Rain",0.92,1))))*(I44*0.4+J44*0.35+K44*0.25)/(IF(B44="Airport",C44*0.55,IF(B44="Downtown",C44*0.5,IF(B44="Suburban",C44*0.4,IF(B44="College",C44*0.45,C44*0.35))))+0.001)*0.3+0.7)),0))</f>
        <v/>
      </c>
      <c r="O44" s="45" t="str">
        <f aca="false">IF(N44="","",ROUND(N44/C44*100,1))</f>
        <v/>
      </c>
      <c r="P44" s="46" t="str">
        <f aca="false">IF(N44="","",IF(N44/C44&gt;=0.9,"SURGE",IF(N44/C44&gt;=0.75,"HIGH",IF(N44/C44&gt;=0.5,"NORMAL","LOW"))))</f>
        <v/>
      </c>
      <c r="Q44" s="47" t="str">
        <f aca="false">IF(N44="","",IF(N44/C44&gt;=0.9,"Request +"&amp;ROUND(N44-C44*0.85,0)&amp;" vehicles",IF(N44/C44&lt;0.4,"Transfer out "&amp;ROUND(C44*0.5-N44,0),"Hold steady")))</f>
        <v/>
      </c>
    </row>
    <row r="45" customFormat="false" ht="15" hidden="false" customHeight="true" outlineLevel="0" collapsed="false">
      <c r="N45" s="44" t="str">
        <f aca="false">IF(A45="","",ROUND(MAX(0,MIN(C45*1.1,IF(B45="Airport",C45*0.55,IF(B45="Downtown",C45*0.5,IF(B45="Suburban",C45*0.4,IF(B45="College",C45*0.45,C45*0.35))))*(1+0.2*SIN((E45-1)/12*2*PI()-PI()/3))*IF(B45="Airport",CHOOSE(MATCH(D45,{"Monday","Tuesday","Wednesday","Thursday","Friday","Saturday","Sunday"},0),1.05,1.1,1.08,1.12,1.15,0.75,0.7),IF(B45="Downtown",CHOOSE(MATCH(D45,{"Monday","Tuesday","Wednesday","Thursday","Friday","Saturday","Sunday"},0),1,1.05,1.08,1.05,1.1,0.8,0.65),IF(B45="Suburban",CHOOSE(MATCH(D45,{"Monday","Tuesday","Wednesday","Thursday","Friday","Saturday","Sunday"},0),0.8,0.82,0.85,0.88,1.05,1.25,1.2),IF(B45="College",CHOOSE(MATCH(D45,{"Monday","Tuesday","Wednesday","Thursday","Friday","Saturday","Sunday"},0),0.9,0.92,0.95,1,1.15,1.1,0.95),CHOOSE(MATCH(D45,{"Monday","Tuesday","Wednesday","Thursday","Friday","Saturday","Sunday"},0),0.85,0.85,0.88,0.9,1.1,1.2,1.15)))))*IF(F45=1,1.2,1)*IF(G45="Large",2.2,IF(G45="Medium",1.25,IF(G45="Small",1.08,1)))*IF(B45="Airport",1+(IF(H45="Severe",0.6,IF(H45="Snow",0.8,IF(H45="Rain",0.92,1)))-1)*0.3,IF(H45="Severe",0.6,IF(H45="Snow",0.8,IF(H45="Rain",0.92,1))))*(I45*0.4+J45*0.35+K45*0.25)/(IF(B45="Airport",C45*0.55,IF(B45="Downtown",C45*0.5,IF(B45="Suburban",C45*0.4,IF(B45="College",C45*0.45,C45*0.35))))+0.001)*0.3+0.7)),0))</f>
        <v/>
      </c>
      <c r="O45" s="45" t="str">
        <f aca="false">IF(N45="","",ROUND(N45/C45*100,1))</f>
        <v/>
      </c>
      <c r="P45" s="46" t="str">
        <f aca="false">IF(N45="","",IF(N45/C45&gt;=0.9,"SURGE",IF(N45/C45&gt;=0.75,"HIGH",IF(N45/C45&gt;=0.5,"NORMAL","LOW"))))</f>
        <v/>
      </c>
      <c r="Q45" s="47" t="str">
        <f aca="false">IF(N45="","",IF(N45/C45&gt;=0.9,"Request +"&amp;ROUND(N45-C45*0.85,0)&amp;" vehicles",IF(N45/C45&lt;0.4,"Transfer out "&amp;ROUND(C45*0.5-N45,0),"Hold steady")))</f>
        <v/>
      </c>
    </row>
    <row r="46" customFormat="false" ht="15" hidden="false" customHeight="true" outlineLevel="0" collapsed="false">
      <c r="N46" s="44" t="str">
        <f aca="false">IF(A46="","",ROUND(MAX(0,MIN(C46*1.1,IF(B46="Airport",C46*0.55,IF(B46="Downtown",C46*0.5,IF(B46="Suburban",C46*0.4,IF(B46="College",C46*0.45,C46*0.35))))*(1+0.2*SIN((E46-1)/12*2*PI()-PI()/3))*IF(B46="Airport",CHOOSE(MATCH(D46,{"Monday","Tuesday","Wednesday","Thursday","Friday","Saturday","Sunday"},0),1.05,1.1,1.08,1.12,1.15,0.75,0.7),IF(B46="Downtown",CHOOSE(MATCH(D46,{"Monday","Tuesday","Wednesday","Thursday","Friday","Saturday","Sunday"},0),1,1.05,1.08,1.05,1.1,0.8,0.65),IF(B46="Suburban",CHOOSE(MATCH(D46,{"Monday","Tuesday","Wednesday","Thursday","Friday","Saturday","Sunday"},0),0.8,0.82,0.85,0.88,1.05,1.25,1.2),IF(B46="College",CHOOSE(MATCH(D46,{"Monday","Tuesday","Wednesday","Thursday","Friday","Saturday","Sunday"},0),0.9,0.92,0.95,1,1.15,1.1,0.95),CHOOSE(MATCH(D46,{"Monday","Tuesday","Wednesday","Thursday","Friday","Saturday","Sunday"},0),0.85,0.85,0.88,0.9,1.1,1.2,1.15)))))*IF(F46=1,1.2,1)*IF(G46="Large",2.2,IF(G46="Medium",1.25,IF(G46="Small",1.08,1)))*IF(B46="Airport",1+(IF(H46="Severe",0.6,IF(H46="Snow",0.8,IF(H46="Rain",0.92,1)))-1)*0.3,IF(H46="Severe",0.6,IF(H46="Snow",0.8,IF(H46="Rain",0.92,1))))*(I46*0.4+J46*0.35+K46*0.25)/(IF(B46="Airport",C46*0.55,IF(B46="Downtown",C46*0.5,IF(B46="Suburban",C46*0.4,IF(B46="College",C46*0.45,C46*0.35))))+0.001)*0.3+0.7)),0))</f>
        <v/>
      </c>
      <c r="O46" s="45" t="str">
        <f aca="false">IF(N46="","",ROUND(N46/C46*100,1))</f>
        <v/>
      </c>
      <c r="P46" s="46" t="str">
        <f aca="false">IF(N46="","",IF(N46/C46&gt;=0.9,"SURGE",IF(N46/C46&gt;=0.75,"HIGH",IF(N46/C46&gt;=0.5,"NORMAL","LOW"))))</f>
        <v/>
      </c>
      <c r="Q46" s="47" t="str">
        <f aca="false">IF(N46="","",IF(N46/C46&gt;=0.9,"Request +"&amp;ROUND(N46-C46*0.85,0)&amp;" vehicles",IF(N46/C46&lt;0.4,"Transfer out "&amp;ROUND(C46*0.5-N46,0),"Hold steady")))</f>
        <v/>
      </c>
    </row>
    <row r="47" customFormat="false" ht="15" hidden="false" customHeight="true" outlineLevel="0" collapsed="false">
      <c r="N47" s="44" t="str">
        <f aca="false">IF(A47="","",ROUND(MAX(0,MIN(C47*1.1,IF(B47="Airport",C47*0.55,IF(B47="Downtown",C47*0.5,IF(B47="Suburban",C47*0.4,IF(B47="College",C47*0.45,C47*0.35))))*(1+0.2*SIN((E47-1)/12*2*PI()-PI()/3))*IF(B47="Airport",CHOOSE(MATCH(D47,{"Monday","Tuesday","Wednesday","Thursday","Friday","Saturday","Sunday"},0),1.05,1.1,1.08,1.12,1.15,0.75,0.7),IF(B47="Downtown",CHOOSE(MATCH(D47,{"Monday","Tuesday","Wednesday","Thursday","Friday","Saturday","Sunday"},0),1,1.05,1.08,1.05,1.1,0.8,0.65),IF(B47="Suburban",CHOOSE(MATCH(D47,{"Monday","Tuesday","Wednesday","Thursday","Friday","Saturday","Sunday"},0),0.8,0.82,0.85,0.88,1.05,1.25,1.2),IF(B47="College",CHOOSE(MATCH(D47,{"Monday","Tuesday","Wednesday","Thursday","Friday","Saturday","Sunday"},0),0.9,0.92,0.95,1,1.15,1.1,0.95),CHOOSE(MATCH(D47,{"Monday","Tuesday","Wednesday","Thursday","Friday","Saturday","Sunday"},0),0.85,0.85,0.88,0.9,1.1,1.2,1.15)))))*IF(F47=1,1.2,1)*IF(G47="Large",2.2,IF(G47="Medium",1.25,IF(G47="Small",1.08,1)))*IF(B47="Airport",1+(IF(H47="Severe",0.6,IF(H47="Snow",0.8,IF(H47="Rain",0.92,1)))-1)*0.3,IF(H47="Severe",0.6,IF(H47="Snow",0.8,IF(H47="Rain",0.92,1))))*(I47*0.4+J47*0.35+K47*0.25)/(IF(B47="Airport",C47*0.55,IF(B47="Downtown",C47*0.5,IF(B47="Suburban",C47*0.4,IF(B47="College",C47*0.45,C47*0.35))))+0.001)*0.3+0.7)),0))</f>
        <v/>
      </c>
      <c r="O47" s="45" t="str">
        <f aca="false">IF(N47="","",ROUND(N47/C47*100,1))</f>
        <v/>
      </c>
      <c r="P47" s="46" t="str">
        <f aca="false">IF(N47="","",IF(N47/C47&gt;=0.9,"SURGE",IF(N47/C47&gt;=0.75,"HIGH",IF(N47/C47&gt;=0.5,"NORMAL","LOW"))))</f>
        <v/>
      </c>
      <c r="Q47" s="47" t="str">
        <f aca="false">IF(N47="","",IF(N47/C47&gt;=0.9,"Request +"&amp;ROUND(N47-C47*0.85,0)&amp;" vehicles",IF(N47/C47&lt;0.4,"Transfer out "&amp;ROUND(C47*0.5-N47,0),"Hold steady")))</f>
        <v/>
      </c>
    </row>
    <row r="48" customFormat="false" ht="15" hidden="false" customHeight="true" outlineLevel="0" collapsed="false">
      <c r="N48" s="44" t="str">
        <f aca="false">IF(A48="","",ROUND(MAX(0,MIN(C48*1.1,IF(B48="Airport",C48*0.55,IF(B48="Downtown",C48*0.5,IF(B48="Suburban",C48*0.4,IF(B48="College",C48*0.45,C48*0.35))))*(1+0.2*SIN((E48-1)/12*2*PI()-PI()/3))*IF(B48="Airport",CHOOSE(MATCH(D48,{"Monday","Tuesday","Wednesday","Thursday","Friday","Saturday","Sunday"},0),1.05,1.1,1.08,1.12,1.15,0.75,0.7),IF(B48="Downtown",CHOOSE(MATCH(D48,{"Monday","Tuesday","Wednesday","Thursday","Friday","Saturday","Sunday"},0),1,1.05,1.08,1.05,1.1,0.8,0.65),IF(B48="Suburban",CHOOSE(MATCH(D48,{"Monday","Tuesday","Wednesday","Thursday","Friday","Saturday","Sunday"},0),0.8,0.82,0.85,0.88,1.05,1.25,1.2),IF(B48="College",CHOOSE(MATCH(D48,{"Monday","Tuesday","Wednesday","Thursday","Friday","Saturday","Sunday"},0),0.9,0.92,0.95,1,1.15,1.1,0.95),CHOOSE(MATCH(D48,{"Monday","Tuesday","Wednesday","Thursday","Friday","Saturday","Sunday"},0),0.85,0.85,0.88,0.9,1.1,1.2,1.15)))))*IF(F48=1,1.2,1)*IF(G48="Large",2.2,IF(G48="Medium",1.25,IF(G48="Small",1.08,1)))*IF(B48="Airport",1+(IF(H48="Severe",0.6,IF(H48="Snow",0.8,IF(H48="Rain",0.92,1)))-1)*0.3,IF(H48="Severe",0.6,IF(H48="Snow",0.8,IF(H48="Rain",0.92,1))))*(I48*0.4+J48*0.35+K48*0.25)/(IF(B48="Airport",C48*0.55,IF(B48="Downtown",C48*0.5,IF(B48="Suburban",C48*0.4,IF(B48="College",C48*0.45,C48*0.35))))+0.001)*0.3+0.7)),0))</f>
        <v/>
      </c>
      <c r="O48" s="45" t="str">
        <f aca="false">IF(N48="","",ROUND(N48/C48*100,1))</f>
        <v/>
      </c>
      <c r="P48" s="46" t="str">
        <f aca="false">IF(N48="","",IF(N48/C48&gt;=0.9,"SURGE",IF(N48/C48&gt;=0.75,"HIGH",IF(N48/C48&gt;=0.5,"NORMAL","LOW"))))</f>
        <v/>
      </c>
      <c r="Q48" s="47" t="str">
        <f aca="false">IF(N48="","",IF(N48/C48&gt;=0.9,"Request +"&amp;ROUND(N48-C48*0.85,0)&amp;" vehicles",IF(N48/C48&lt;0.4,"Transfer out "&amp;ROUND(C48*0.5-N48,0),"Hold steady")))</f>
        <v/>
      </c>
    </row>
    <row r="49" customFormat="false" ht="15" hidden="false" customHeight="true" outlineLevel="0" collapsed="false">
      <c r="N49" s="44" t="str">
        <f aca="false">IF(A49="","",ROUND(MAX(0,MIN(C49*1.1,IF(B49="Airport",C49*0.55,IF(B49="Downtown",C49*0.5,IF(B49="Suburban",C49*0.4,IF(B49="College",C49*0.45,C49*0.35))))*(1+0.2*SIN((E49-1)/12*2*PI()-PI()/3))*IF(B49="Airport",CHOOSE(MATCH(D49,{"Monday","Tuesday","Wednesday","Thursday","Friday","Saturday","Sunday"},0),1.05,1.1,1.08,1.12,1.15,0.75,0.7),IF(B49="Downtown",CHOOSE(MATCH(D49,{"Monday","Tuesday","Wednesday","Thursday","Friday","Saturday","Sunday"},0),1,1.05,1.08,1.05,1.1,0.8,0.65),IF(B49="Suburban",CHOOSE(MATCH(D49,{"Monday","Tuesday","Wednesday","Thursday","Friday","Saturday","Sunday"},0),0.8,0.82,0.85,0.88,1.05,1.25,1.2),IF(B49="College",CHOOSE(MATCH(D49,{"Monday","Tuesday","Wednesday","Thursday","Friday","Saturday","Sunday"},0),0.9,0.92,0.95,1,1.15,1.1,0.95),CHOOSE(MATCH(D49,{"Monday","Tuesday","Wednesday","Thursday","Friday","Saturday","Sunday"},0),0.85,0.85,0.88,0.9,1.1,1.2,1.15)))))*IF(F49=1,1.2,1)*IF(G49="Large",2.2,IF(G49="Medium",1.25,IF(G49="Small",1.08,1)))*IF(B49="Airport",1+(IF(H49="Severe",0.6,IF(H49="Snow",0.8,IF(H49="Rain",0.92,1)))-1)*0.3,IF(H49="Severe",0.6,IF(H49="Snow",0.8,IF(H49="Rain",0.92,1))))*(I49*0.4+J49*0.35+K49*0.25)/(IF(B49="Airport",C49*0.55,IF(B49="Downtown",C49*0.5,IF(B49="Suburban",C49*0.4,IF(B49="College",C49*0.45,C49*0.35))))+0.001)*0.3+0.7)),0))</f>
        <v/>
      </c>
      <c r="O49" s="45" t="str">
        <f aca="false">IF(N49="","",ROUND(N49/C49*100,1))</f>
        <v/>
      </c>
      <c r="P49" s="46" t="str">
        <f aca="false">IF(N49="","",IF(N49/C49&gt;=0.9,"SURGE",IF(N49/C49&gt;=0.75,"HIGH",IF(N49/C49&gt;=0.5,"NORMAL","LOW"))))</f>
        <v/>
      </c>
      <c r="Q49" s="47" t="str">
        <f aca="false">IF(N49="","",IF(N49/C49&gt;=0.9,"Request +"&amp;ROUND(N49-C49*0.85,0)&amp;" vehicles",IF(N49/C49&lt;0.4,"Transfer out "&amp;ROUND(C49*0.5-N49,0),"Hold steady")))</f>
        <v/>
      </c>
    </row>
    <row r="50" customFormat="false" ht="15" hidden="false" customHeight="true" outlineLevel="0" collapsed="false">
      <c r="N50" s="44" t="str">
        <f aca="false">IF(A50="","",ROUND(MAX(0,MIN(C50*1.1,IF(B50="Airport",C50*0.55,IF(B50="Downtown",C50*0.5,IF(B50="Suburban",C50*0.4,IF(B50="College",C50*0.45,C50*0.35))))*(1+0.2*SIN((E50-1)/12*2*PI()-PI()/3))*IF(B50="Airport",CHOOSE(MATCH(D50,{"Monday","Tuesday","Wednesday","Thursday","Friday","Saturday","Sunday"},0),1.05,1.1,1.08,1.12,1.15,0.75,0.7),IF(B50="Downtown",CHOOSE(MATCH(D50,{"Monday","Tuesday","Wednesday","Thursday","Friday","Saturday","Sunday"},0),1,1.05,1.08,1.05,1.1,0.8,0.65),IF(B50="Suburban",CHOOSE(MATCH(D50,{"Monday","Tuesday","Wednesday","Thursday","Friday","Saturday","Sunday"},0),0.8,0.82,0.85,0.88,1.05,1.25,1.2),IF(B50="College",CHOOSE(MATCH(D50,{"Monday","Tuesday","Wednesday","Thursday","Friday","Saturday","Sunday"},0),0.9,0.92,0.95,1,1.15,1.1,0.95),CHOOSE(MATCH(D50,{"Monday","Tuesday","Wednesday","Thursday","Friday","Saturday","Sunday"},0),0.85,0.85,0.88,0.9,1.1,1.2,1.15)))))*IF(F50=1,1.2,1)*IF(G50="Large",2.2,IF(G50="Medium",1.25,IF(G50="Small",1.08,1)))*IF(B50="Airport",1+(IF(H50="Severe",0.6,IF(H50="Snow",0.8,IF(H50="Rain",0.92,1)))-1)*0.3,IF(H50="Severe",0.6,IF(H50="Snow",0.8,IF(H50="Rain",0.92,1))))*(I50*0.4+J50*0.35+K50*0.25)/(IF(B50="Airport",C50*0.55,IF(B50="Downtown",C50*0.5,IF(B50="Suburban",C50*0.4,IF(B50="College",C50*0.45,C50*0.35))))+0.001)*0.3+0.7)),0))</f>
        <v/>
      </c>
      <c r="O50" s="45" t="str">
        <f aca="false">IF(N50="","",ROUND(N50/C50*100,1))</f>
        <v/>
      </c>
      <c r="P50" s="46" t="str">
        <f aca="false">IF(N50="","",IF(N50/C50&gt;=0.9,"SURGE",IF(N50/C50&gt;=0.75,"HIGH",IF(N50/C50&gt;=0.5,"NORMAL","LOW"))))</f>
        <v/>
      </c>
      <c r="Q50" s="47" t="str">
        <f aca="false">IF(N50="","",IF(N50/C50&gt;=0.9,"Request +"&amp;ROUND(N50-C50*0.85,0)&amp;" vehicles",IF(N50/C50&lt;0.4,"Transfer out "&amp;ROUND(C50*0.5-N50,0),"Hold steady")))</f>
        <v/>
      </c>
    </row>
    <row r="51" customFormat="false" ht="15" hidden="false" customHeight="true" outlineLevel="0" collapsed="false">
      <c r="N51" s="44" t="str">
        <f aca="false">IF(A51="","",ROUND(MAX(0,MIN(C51*1.1,IF(B51="Airport",C51*0.55,IF(B51="Downtown",C51*0.5,IF(B51="Suburban",C51*0.4,IF(B51="College",C51*0.45,C51*0.35))))*(1+0.2*SIN((E51-1)/12*2*PI()-PI()/3))*IF(B51="Airport",CHOOSE(MATCH(D51,{"Monday","Tuesday","Wednesday","Thursday","Friday","Saturday","Sunday"},0),1.05,1.1,1.08,1.12,1.15,0.75,0.7),IF(B51="Downtown",CHOOSE(MATCH(D51,{"Monday","Tuesday","Wednesday","Thursday","Friday","Saturday","Sunday"},0),1,1.05,1.08,1.05,1.1,0.8,0.65),IF(B51="Suburban",CHOOSE(MATCH(D51,{"Monday","Tuesday","Wednesday","Thursday","Friday","Saturday","Sunday"},0),0.8,0.82,0.85,0.88,1.05,1.25,1.2),IF(B51="College",CHOOSE(MATCH(D51,{"Monday","Tuesday","Wednesday","Thursday","Friday","Saturday","Sunday"},0),0.9,0.92,0.95,1,1.15,1.1,0.95),CHOOSE(MATCH(D51,{"Monday","Tuesday","Wednesday","Thursday","Friday","Saturday","Sunday"},0),0.85,0.85,0.88,0.9,1.1,1.2,1.15)))))*IF(F51=1,1.2,1)*IF(G51="Large",2.2,IF(G51="Medium",1.25,IF(G51="Small",1.08,1)))*IF(B51="Airport",1+(IF(H51="Severe",0.6,IF(H51="Snow",0.8,IF(H51="Rain",0.92,1)))-1)*0.3,IF(H51="Severe",0.6,IF(H51="Snow",0.8,IF(H51="Rain",0.92,1))))*(I51*0.4+J51*0.35+K51*0.25)/(IF(B51="Airport",C51*0.55,IF(B51="Downtown",C51*0.5,IF(B51="Suburban",C51*0.4,IF(B51="College",C51*0.45,C51*0.35))))+0.001)*0.3+0.7)),0))</f>
        <v/>
      </c>
      <c r="O51" s="45" t="str">
        <f aca="false">IF(N51="","",ROUND(N51/C51*100,1))</f>
        <v/>
      </c>
      <c r="P51" s="46" t="str">
        <f aca="false">IF(N51="","",IF(N51/C51&gt;=0.9,"SURGE",IF(N51/C51&gt;=0.75,"HIGH",IF(N51/C51&gt;=0.5,"NORMAL","LOW"))))</f>
        <v/>
      </c>
      <c r="Q51" s="47" t="str">
        <f aca="false">IF(N51="","",IF(N51/C51&gt;=0.9,"Request +"&amp;ROUND(N51-C51*0.85,0)&amp;" vehicles",IF(N51/C51&lt;0.4,"Transfer out "&amp;ROUND(C51*0.5-N51,0),"Hold steady")))</f>
        <v/>
      </c>
    </row>
    <row r="52" customFormat="false" ht="15" hidden="false" customHeight="true" outlineLevel="0" collapsed="false">
      <c r="N52" s="44" t="str">
        <f aca="false">IF(A52="","",ROUND(MAX(0,MIN(C52*1.1,IF(B52="Airport",C52*0.55,IF(B52="Downtown",C52*0.5,IF(B52="Suburban",C52*0.4,IF(B52="College",C52*0.45,C52*0.35))))*(1+0.2*SIN((E52-1)/12*2*PI()-PI()/3))*IF(B52="Airport",CHOOSE(MATCH(D52,{"Monday","Tuesday","Wednesday","Thursday","Friday","Saturday","Sunday"},0),1.05,1.1,1.08,1.12,1.15,0.75,0.7),IF(B52="Downtown",CHOOSE(MATCH(D52,{"Monday","Tuesday","Wednesday","Thursday","Friday","Saturday","Sunday"},0),1,1.05,1.08,1.05,1.1,0.8,0.65),IF(B52="Suburban",CHOOSE(MATCH(D52,{"Monday","Tuesday","Wednesday","Thursday","Friday","Saturday","Sunday"},0),0.8,0.82,0.85,0.88,1.05,1.25,1.2),IF(B52="College",CHOOSE(MATCH(D52,{"Monday","Tuesday","Wednesday","Thursday","Friday","Saturday","Sunday"},0),0.9,0.92,0.95,1,1.15,1.1,0.95),CHOOSE(MATCH(D52,{"Monday","Tuesday","Wednesday","Thursday","Friday","Saturday","Sunday"},0),0.85,0.85,0.88,0.9,1.1,1.2,1.15)))))*IF(F52=1,1.2,1)*IF(G52="Large",2.2,IF(G52="Medium",1.25,IF(G52="Small",1.08,1)))*IF(B52="Airport",1+(IF(H52="Severe",0.6,IF(H52="Snow",0.8,IF(H52="Rain",0.92,1)))-1)*0.3,IF(H52="Severe",0.6,IF(H52="Snow",0.8,IF(H52="Rain",0.92,1))))*(I52*0.4+J52*0.35+K52*0.25)/(IF(B52="Airport",C52*0.55,IF(B52="Downtown",C52*0.5,IF(B52="Suburban",C52*0.4,IF(B52="College",C52*0.45,C52*0.35))))+0.001)*0.3+0.7)),0))</f>
        <v/>
      </c>
      <c r="O52" s="45" t="str">
        <f aca="false">IF(N52="","",ROUND(N52/C52*100,1))</f>
        <v/>
      </c>
      <c r="P52" s="46" t="str">
        <f aca="false">IF(N52="","",IF(N52/C52&gt;=0.9,"SURGE",IF(N52/C52&gt;=0.75,"HIGH",IF(N52/C52&gt;=0.5,"NORMAL","LOW"))))</f>
        <v/>
      </c>
      <c r="Q52" s="47" t="str">
        <f aca="false">IF(N52="","",IF(N52/C52&gt;=0.9,"Request +"&amp;ROUND(N52-C52*0.85,0)&amp;" vehicles",IF(N52/C52&lt;0.4,"Transfer out "&amp;ROUND(C52*0.5-N52,0),"Hold steady")))</f>
        <v/>
      </c>
    </row>
    <row r="53" customFormat="false" ht="15" hidden="false" customHeight="true" outlineLevel="0" collapsed="false">
      <c r="N53" s="44" t="str">
        <f aca="false">IF(A53="","",ROUND(MAX(0,MIN(C53*1.1,IF(B53="Airport",C53*0.55,IF(B53="Downtown",C53*0.5,IF(B53="Suburban",C53*0.4,IF(B53="College",C53*0.45,C53*0.35))))*(1+0.2*SIN((E53-1)/12*2*PI()-PI()/3))*IF(B53="Airport",CHOOSE(MATCH(D53,{"Monday","Tuesday","Wednesday","Thursday","Friday","Saturday","Sunday"},0),1.05,1.1,1.08,1.12,1.15,0.75,0.7),IF(B53="Downtown",CHOOSE(MATCH(D53,{"Monday","Tuesday","Wednesday","Thursday","Friday","Saturday","Sunday"},0),1,1.05,1.08,1.05,1.1,0.8,0.65),IF(B53="Suburban",CHOOSE(MATCH(D53,{"Monday","Tuesday","Wednesday","Thursday","Friday","Saturday","Sunday"},0),0.8,0.82,0.85,0.88,1.05,1.25,1.2),IF(B53="College",CHOOSE(MATCH(D53,{"Monday","Tuesday","Wednesday","Thursday","Friday","Saturday","Sunday"},0),0.9,0.92,0.95,1,1.15,1.1,0.95),CHOOSE(MATCH(D53,{"Monday","Tuesday","Wednesday","Thursday","Friday","Saturday","Sunday"},0),0.85,0.85,0.88,0.9,1.1,1.2,1.15)))))*IF(F53=1,1.2,1)*IF(G53="Large",2.2,IF(G53="Medium",1.25,IF(G53="Small",1.08,1)))*IF(B53="Airport",1+(IF(H53="Severe",0.6,IF(H53="Snow",0.8,IF(H53="Rain",0.92,1)))-1)*0.3,IF(H53="Severe",0.6,IF(H53="Snow",0.8,IF(H53="Rain",0.92,1))))*(I53*0.4+J53*0.35+K53*0.25)/(IF(B53="Airport",C53*0.55,IF(B53="Downtown",C53*0.5,IF(B53="Suburban",C53*0.4,IF(B53="College",C53*0.45,C53*0.35))))+0.001)*0.3+0.7)),0))</f>
        <v/>
      </c>
      <c r="O53" s="45" t="str">
        <f aca="false">IF(N53="","",ROUND(N53/C53*100,1))</f>
        <v/>
      </c>
      <c r="P53" s="46" t="str">
        <f aca="false">IF(N53="","",IF(N53/C53&gt;=0.9,"SURGE",IF(N53/C53&gt;=0.75,"HIGH",IF(N53/C53&gt;=0.5,"NORMAL","LOW"))))</f>
        <v/>
      </c>
      <c r="Q53" s="47" t="str">
        <f aca="false">IF(N53="","",IF(N53/C53&gt;=0.9,"Request +"&amp;ROUND(N53-C53*0.85,0)&amp;" vehicles",IF(N53/C53&lt;0.4,"Transfer out "&amp;ROUND(C53*0.5-N53,0),"Hold steady")))</f>
        <v/>
      </c>
    </row>
    <row r="54" customFormat="false" ht="15" hidden="false" customHeight="true" outlineLevel="0" collapsed="false">
      <c r="N54" s="44" t="str">
        <f aca="false">IF(A54="","",ROUND(MAX(0,MIN(C54*1.1,IF(B54="Airport",C54*0.55,IF(B54="Downtown",C54*0.5,IF(B54="Suburban",C54*0.4,IF(B54="College",C54*0.45,C54*0.35))))*(1+0.2*SIN((E54-1)/12*2*PI()-PI()/3))*IF(B54="Airport",CHOOSE(MATCH(D54,{"Monday","Tuesday","Wednesday","Thursday","Friday","Saturday","Sunday"},0),1.05,1.1,1.08,1.12,1.15,0.75,0.7),IF(B54="Downtown",CHOOSE(MATCH(D54,{"Monday","Tuesday","Wednesday","Thursday","Friday","Saturday","Sunday"},0),1,1.05,1.08,1.05,1.1,0.8,0.65),IF(B54="Suburban",CHOOSE(MATCH(D54,{"Monday","Tuesday","Wednesday","Thursday","Friday","Saturday","Sunday"},0),0.8,0.82,0.85,0.88,1.05,1.25,1.2),IF(B54="College",CHOOSE(MATCH(D54,{"Monday","Tuesday","Wednesday","Thursday","Friday","Saturday","Sunday"},0),0.9,0.92,0.95,1,1.15,1.1,0.95),CHOOSE(MATCH(D54,{"Monday","Tuesday","Wednesday","Thursday","Friday","Saturday","Sunday"},0),0.85,0.85,0.88,0.9,1.1,1.2,1.15)))))*IF(F54=1,1.2,1)*IF(G54="Large",2.2,IF(G54="Medium",1.25,IF(G54="Small",1.08,1)))*IF(B54="Airport",1+(IF(H54="Severe",0.6,IF(H54="Snow",0.8,IF(H54="Rain",0.92,1)))-1)*0.3,IF(H54="Severe",0.6,IF(H54="Snow",0.8,IF(H54="Rain",0.92,1))))*(I54*0.4+J54*0.35+K54*0.25)/(IF(B54="Airport",C54*0.55,IF(B54="Downtown",C54*0.5,IF(B54="Suburban",C54*0.4,IF(B54="College",C54*0.45,C54*0.35))))+0.001)*0.3+0.7)),0))</f>
        <v/>
      </c>
      <c r="O54" s="45" t="str">
        <f aca="false">IF(N54="","",ROUND(N54/C54*100,1))</f>
        <v/>
      </c>
      <c r="P54" s="46" t="str">
        <f aca="false">IF(N54="","",IF(N54/C54&gt;=0.9,"SURGE",IF(N54/C54&gt;=0.75,"HIGH",IF(N54/C54&gt;=0.5,"NORMAL","LOW"))))</f>
        <v/>
      </c>
      <c r="Q54" s="47" t="str">
        <f aca="false">IF(N54="","",IF(N54/C54&gt;=0.9,"Request +"&amp;ROUND(N54-C54*0.85,0)&amp;" vehicles",IF(N54/C54&lt;0.4,"Transfer out "&amp;ROUND(C54*0.5-N54,0),"Hold steady")))</f>
        <v/>
      </c>
    </row>
    <row r="55" customFormat="false" ht="15" hidden="false" customHeight="true" outlineLevel="0" collapsed="false">
      <c r="N55" s="44" t="str">
        <f aca="false">IF(A55="","",ROUND(MAX(0,MIN(C55*1.1,IF(B55="Airport",C55*0.55,IF(B55="Downtown",C55*0.5,IF(B55="Suburban",C55*0.4,IF(B55="College",C55*0.45,C55*0.35))))*(1+0.2*SIN((E55-1)/12*2*PI()-PI()/3))*IF(B55="Airport",CHOOSE(MATCH(D55,{"Monday","Tuesday","Wednesday","Thursday","Friday","Saturday","Sunday"},0),1.05,1.1,1.08,1.12,1.15,0.75,0.7),IF(B55="Downtown",CHOOSE(MATCH(D55,{"Monday","Tuesday","Wednesday","Thursday","Friday","Saturday","Sunday"},0),1,1.05,1.08,1.05,1.1,0.8,0.65),IF(B55="Suburban",CHOOSE(MATCH(D55,{"Monday","Tuesday","Wednesday","Thursday","Friday","Saturday","Sunday"},0),0.8,0.82,0.85,0.88,1.05,1.25,1.2),IF(B55="College",CHOOSE(MATCH(D55,{"Monday","Tuesday","Wednesday","Thursday","Friday","Saturday","Sunday"},0),0.9,0.92,0.95,1,1.15,1.1,0.95),CHOOSE(MATCH(D55,{"Monday","Tuesday","Wednesday","Thursday","Friday","Saturday","Sunday"},0),0.85,0.85,0.88,0.9,1.1,1.2,1.15)))))*IF(F55=1,1.2,1)*IF(G55="Large",2.2,IF(G55="Medium",1.25,IF(G55="Small",1.08,1)))*IF(B55="Airport",1+(IF(H55="Severe",0.6,IF(H55="Snow",0.8,IF(H55="Rain",0.92,1)))-1)*0.3,IF(H55="Severe",0.6,IF(H55="Snow",0.8,IF(H55="Rain",0.92,1))))*(I55*0.4+J55*0.35+K55*0.25)/(IF(B55="Airport",C55*0.55,IF(B55="Downtown",C55*0.5,IF(B55="Suburban",C55*0.4,IF(B55="College",C55*0.45,C55*0.35))))+0.001)*0.3+0.7)),0))</f>
        <v/>
      </c>
      <c r="O55" s="45" t="str">
        <f aca="false">IF(N55="","",ROUND(N55/C55*100,1))</f>
        <v/>
      </c>
      <c r="P55" s="46" t="str">
        <f aca="false">IF(N55="","",IF(N55/C55&gt;=0.9,"SURGE",IF(N55/C55&gt;=0.75,"HIGH",IF(N55/C55&gt;=0.5,"NORMAL","LOW"))))</f>
        <v/>
      </c>
      <c r="Q55" s="47" t="str">
        <f aca="false">IF(N55="","",IF(N55/C55&gt;=0.9,"Request +"&amp;ROUND(N55-C55*0.85,0)&amp;" vehicles",IF(N55/C55&lt;0.4,"Transfer out "&amp;ROUND(C55*0.5-N55,0),"Hold steady")))</f>
        <v/>
      </c>
    </row>
    <row r="56" customFormat="false" ht="15" hidden="false" customHeight="true" outlineLevel="0" collapsed="false">
      <c r="N56" s="44" t="str">
        <f aca="false">IF(A56="","",ROUND(MAX(0,MIN(C56*1.1,IF(B56="Airport",C56*0.55,IF(B56="Downtown",C56*0.5,IF(B56="Suburban",C56*0.4,IF(B56="College",C56*0.45,C56*0.35))))*(1+0.2*SIN((E56-1)/12*2*PI()-PI()/3))*IF(B56="Airport",CHOOSE(MATCH(D56,{"Monday","Tuesday","Wednesday","Thursday","Friday","Saturday","Sunday"},0),1.05,1.1,1.08,1.12,1.15,0.75,0.7),IF(B56="Downtown",CHOOSE(MATCH(D56,{"Monday","Tuesday","Wednesday","Thursday","Friday","Saturday","Sunday"},0),1,1.05,1.08,1.05,1.1,0.8,0.65),IF(B56="Suburban",CHOOSE(MATCH(D56,{"Monday","Tuesday","Wednesday","Thursday","Friday","Saturday","Sunday"},0),0.8,0.82,0.85,0.88,1.05,1.25,1.2),IF(B56="College",CHOOSE(MATCH(D56,{"Monday","Tuesday","Wednesday","Thursday","Friday","Saturday","Sunday"},0),0.9,0.92,0.95,1,1.15,1.1,0.95),CHOOSE(MATCH(D56,{"Monday","Tuesday","Wednesday","Thursday","Friday","Saturday","Sunday"},0),0.85,0.85,0.88,0.9,1.1,1.2,1.15)))))*IF(F56=1,1.2,1)*IF(G56="Large",2.2,IF(G56="Medium",1.25,IF(G56="Small",1.08,1)))*IF(B56="Airport",1+(IF(H56="Severe",0.6,IF(H56="Snow",0.8,IF(H56="Rain",0.92,1)))-1)*0.3,IF(H56="Severe",0.6,IF(H56="Snow",0.8,IF(H56="Rain",0.92,1))))*(I56*0.4+J56*0.35+K56*0.25)/(IF(B56="Airport",C56*0.55,IF(B56="Downtown",C56*0.5,IF(B56="Suburban",C56*0.4,IF(B56="College",C56*0.45,C56*0.35))))+0.001)*0.3+0.7)),0))</f>
        <v/>
      </c>
      <c r="O56" s="45" t="str">
        <f aca="false">IF(N56="","",ROUND(N56/C56*100,1))</f>
        <v/>
      </c>
      <c r="P56" s="46" t="str">
        <f aca="false">IF(N56="","",IF(N56/C56&gt;=0.9,"SURGE",IF(N56/C56&gt;=0.75,"HIGH",IF(N56/C56&gt;=0.5,"NORMAL","LOW"))))</f>
        <v/>
      </c>
      <c r="Q56" s="47" t="str">
        <f aca="false">IF(N56="","",IF(N56/C56&gt;=0.9,"Request +"&amp;ROUND(N56-C56*0.85,0)&amp;" vehicles",IF(N56/C56&lt;0.4,"Transfer out "&amp;ROUND(C56*0.5-N56,0),"Hold steady")))</f>
        <v/>
      </c>
    </row>
    <row r="57" customFormat="false" ht="15" hidden="false" customHeight="true" outlineLevel="0" collapsed="false">
      <c r="N57" s="44" t="str">
        <f aca="false">IF(A57="","",ROUND(MAX(0,MIN(C57*1.1,IF(B57="Airport",C57*0.55,IF(B57="Downtown",C57*0.5,IF(B57="Suburban",C57*0.4,IF(B57="College",C57*0.45,C57*0.35))))*(1+0.2*SIN((E57-1)/12*2*PI()-PI()/3))*IF(B57="Airport",CHOOSE(MATCH(D57,{"Monday","Tuesday","Wednesday","Thursday","Friday","Saturday","Sunday"},0),1.05,1.1,1.08,1.12,1.15,0.75,0.7),IF(B57="Downtown",CHOOSE(MATCH(D57,{"Monday","Tuesday","Wednesday","Thursday","Friday","Saturday","Sunday"},0),1,1.05,1.08,1.05,1.1,0.8,0.65),IF(B57="Suburban",CHOOSE(MATCH(D57,{"Monday","Tuesday","Wednesday","Thursday","Friday","Saturday","Sunday"},0),0.8,0.82,0.85,0.88,1.05,1.25,1.2),IF(B57="College",CHOOSE(MATCH(D57,{"Monday","Tuesday","Wednesday","Thursday","Friday","Saturday","Sunday"},0),0.9,0.92,0.95,1,1.15,1.1,0.95),CHOOSE(MATCH(D57,{"Monday","Tuesday","Wednesday","Thursday","Friday","Saturday","Sunday"},0),0.85,0.85,0.88,0.9,1.1,1.2,1.15)))))*IF(F57=1,1.2,1)*IF(G57="Large",2.2,IF(G57="Medium",1.25,IF(G57="Small",1.08,1)))*IF(B57="Airport",1+(IF(H57="Severe",0.6,IF(H57="Snow",0.8,IF(H57="Rain",0.92,1)))-1)*0.3,IF(H57="Severe",0.6,IF(H57="Snow",0.8,IF(H57="Rain",0.92,1))))*(I57*0.4+J57*0.35+K57*0.25)/(IF(B57="Airport",C57*0.55,IF(B57="Downtown",C57*0.5,IF(B57="Suburban",C57*0.4,IF(B57="College",C57*0.45,C57*0.35))))+0.001)*0.3+0.7)),0))</f>
        <v/>
      </c>
      <c r="O57" s="45" t="str">
        <f aca="false">IF(N57="","",ROUND(N57/C57*100,1))</f>
        <v/>
      </c>
      <c r="P57" s="46" t="str">
        <f aca="false">IF(N57="","",IF(N57/C57&gt;=0.9,"SURGE",IF(N57/C57&gt;=0.75,"HIGH",IF(N57/C57&gt;=0.5,"NORMAL","LOW"))))</f>
        <v/>
      </c>
      <c r="Q57" s="47" t="str">
        <f aca="false">IF(N57="","",IF(N57/C57&gt;=0.9,"Request +"&amp;ROUND(N57-C57*0.85,0)&amp;" vehicles",IF(N57/C57&lt;0.4,"Transfer out "&amp;ROUND(C57*0.5-N57,0),"Hold steady")))</f>
        <v/>
      </c>
    </row>
    <row r="58" customFormat="false" ht="15" hidden="false" customHeight="true" outlineLevel="0" collapsed="false">
      <c r="N58" s="44" t="str">
        <f aca="false">IF(A58="","",ROUND(MAX(0,MIN(C58*1.1,IF(B58="Airport",C58*0.55,IF(B58="Downtown",C58*0.5,IF(B58="Suburban",C58*0.4,IF(B58="College",C58*0.45,C58*0.35))))*(1+0.2*SIN((E58-1)/12*2*PI()-PI()/3))*IF(B58="Airport",CHOOSE(MATCH(D58,{"Monday","Tuesday","Wednesday","Thursday","Friday","Saturday","Sunday"},0),1.05,1.1,1.08,1.12,1.15,0.75,0.7),IF(B58="Downtown",CHOOSE(MATCH(D58,{"Monday","Tuesday","Wednesday","Thursday","Friday","Saturday","Sunday"},0),1,1.05,1.08,1.05,1.1,0.8,0.65),IF(B58="Suburban",CHOOSE(MATCH(D58,{"Monday","Tuesday","Wednesday","Thursday","Friday","Saturday","Sunday"},0),0.8,0.82,0.85,0.88,1.05,1.25,1.2),IF(B58="College",CHOOSE(MATCH(D58,{"Monday","Tuesday","Wednesday","Thursday","Friday","Saturday","Sunday"},0),0.9,0.92,0.95,1,1.15,1.1,0.95),CHOOSE(MATCH(D58,{"Monday","Tuesday","Wednesday","Thursday","Friday","Saturday","Sunday"},0),0.85,0.85,0.88,0.9,1.1,1.2,1.15)))))*IF(F58=1,1.2,1)*IF(G58="Large",2.2,IF(G58="Medium",1.25,IF(G58="Small",1.08,1)))*IF(B58="Airport",1+(IF(H58="Severe",0.6,IF(H58="Snow",0.8,IF(H58="Rain",0.92,1)))-1)*0.3,IF(H58="Severe",0.6,IF(H58="Snow",0.8,IF(H58="Rain",0.92,1))))*(I58*0.4+J58*0.35+K58*0.25)/(IF(B58="Airport",C58*0.55,IF(B58="Downtown",C58*0.5,IF(B58="Suburban",C58*0.4,IF(B58="College",C58*0.45,C58*0.35))))+0.001)*0.3+0.7)),0))</f>
        <v/>
      </c>
      <c r="O58" s="45" t="str">
        <f aca="false">IF(N58="","",ROUND(N58/C58*100,1))</f>
        <v/>
      </c>
      <c r="P58" s="46" t="str">
        <f aca="false">IF(N58="","",IF(N58/C58&gt;=0.9,"SURGE",IF(N58/C58&gt;=0.75,"HIGH",IF(N58/C58&gt;=0.5,"NORMAL","LOW"))))</f>
        <v/>
      </c>
      <c r="Q58" s="47" t="str">
        <f aca="false">IF(N58="","",IF(N58/C58&gt;=0.9,"Request +"&amp;ROUND(N58-C58*0.85,0)&amp;" vehicles",IF(N58/C58&lt;0.4,"Transfer out "&amp;ROUND(C58*0.5-N58,0),"Hold steady")))</f>
        <v/>
      </c>
    </row>
    <row r="59" customFormat="false" ht="15" hidden="false" customHeight="true" outlineLevel="0" collapsed="false">
      <c r="N59" s="44" t="str">
        <f aca="false">IF(A59="","",ROUND(MAX(0,MIN(C59*1.1,IF(B59="Airport",C59*0.55,IF(B59="Downtown",C59*0.5,IF(B59="Suburban",C59*0.4,IF(B59="College",C59*0.45,C59*0.35))))*(1+0.2*SIN((E59-1)/12*2*PI()-PI()/3))*IF(B59="Airport",CHOOSE(MATCH(D59,{"Monday","Tuesday","Wednesday","Thursday","Friday","Saturday","Sunday"},0),1.05,1.1,1.08,1.12,1.15,0.75,0.7),IF(B59="Downtown",CHOOSE(MATCH(D59,{"Monday","Tuesday","Wednesday","Thursday","Friday","Saturday","Sunday"},0),1,1.05,1.08,1.05,1.1,0.8,0.65),IF(B59="Suburban",CHOOSE(MATCH(D59,{"Monday","Tuesday","Wednesday","Thursday","Friday","Saturday","Sunday"},0),0.8,0.82,0.85,0.88,1.05,1.25,1.2),IF(B59="College",CHOOSE(MATCH(D59,{"Monday","Tuesday","Wednesday","Thursday","Friday","Saturday","Sunday"},0),0.9,0.92,0.95,1,1.15,1.1,0.95),CHOOSE(MATCH(D59,{"Monday","Tuesday","Wednesday","Thursday","Friday","Saturday","Sunday"},0),0.85,0.85,0.88,0.9,1.1,1.2,1.15)))))*IF(F59=1,1.2,1)*IF(G59="Large",2.2,IF(G59="Medium",1.25,IF(G59="Small",1.08,1)))*IF(B59="Airport",1+(IF(H59="Severe",0.6,IF(H59="Snow",0.8,IF(H59="Rain",0.92,1)))-1)*0.3,IF(H59="Severe",0.6,IF(H59="Snow",0.8,IF(H59="Rain",0.92,1))))*(I59*0.4+J59*0.35+K59*0.25)/(IF(B59="Airport",C59*0.55,IF(B59="Downtown",C59*0.5,IF(B59="Suburban",C59*0.4,IF(B59="College",C59*0.45,C59*0.35))))+0.001)*0.3+0.7)),0))</f>
        <v/>
      </c>
      <c r="O59" s="45" t="str">
        <f aca="false">IF(N59="","",ROUND(N59/C59*100,1))</f>
        <v/>
      </c>
      <c r="P59" s="46" t="str">
        <f aca="false">IF(N59="","",IF(N59/C59&gt;=0.9,"SURGE",IF(N59/C59&gt;=0.75,"HIGH",IF(N59/C59&gt;=0.5,"NORMAL","LOW"))))</f>
        <v/>
      </c>
      <c r="Q59" s="47" t="str">
        <f aca="false">IF(N59="","",IF(N59/C59&gt;=0.9,"Request +"&amp;ROUND(N59-C59*0.85,0)&amp;" vehicles",IF(N59/C59&lt;0.4,"Transfer out "&amp;ROUND(C59*0.5-N59,0),"Hold steady")))</f>
        <v/>
      </c>
    </row>
    <row r="60" customFormat="false" ht="15" hidden="false" customHeight="true" outlineLevel="0" collapsed="false">
      <c r="N60" s="44" t="str">
        <f aca="false">IF(A60="","",ROUND(MAX(0,MIN(C60*1.1,IF(B60="Airport",C60*0.55,IF(B60="Downtown",C60*0.5,IF(B60="Suburban",C60*0.4,IF(B60="College",C60*0.45,C60*0.35))))*(1+0.2*SIN((E60-1)/12*2*PI()-PI()/3))*IF(B60="Airport",CHOOSE(MATCH(D60,{"Monday","Tuesday","Wednesday","Thursday","Friday","Saturday","Sunday"},0),1.05,1.1,1.08,1.12,1.15,0.75,0.7),IF(B60="Downtown",CHOOSE(MATCH(D60,{"Monday","Tuesday","Wednesday","Thursday","Friday","Saturday","Sunday"},0),1,1.05,1.08,1.05,1.1,0.8,0.65),IF(B60="Suburban",CHOOSE(MATCH(D60,{"Monday","Tuesday","Wednesday","Thursday","Friday","Saturday","Sunday"},0),0.8,0.82,0.85,0.88,1.05,1.25,1.2),IF(B60="College",CHOOSE(MATCH(D60,{"Monday","Tuesday","Wednesday","Thursday","Friday","Saturday","Sunday"},0),0.9,0.92,0.95,1,1.15,1.1,0.95),CHOOSE(MATCH(D60,{"Monday","Tuesday","Wednesday","Thursday","Friday","Saturday","Sunday"},0),0.85,0.85,0.88,0.9,1.1,1.2,1.15)))))*IF(F60=1,1.2,1)*IF(G60="Large",2.2,IF(G60="Medium",1.25,IF(G60="Small",1.08,1)))*IF(B60="Airport",1+(IF(H60="Severe",0.6,IF(H60="Snow",0.8,IF(H60="Rain",0.92,1)))-1)*0.3,IF(H60="Severe",0.6,IF(H60="Snow",0.8,IF(H60="Rain",0.92,1))))*(I60*0.4+J60*0.35+K60*0.25)/(IF(B60="Airport",C60*0.55,IF(B60="Downtown",C60*0.5,IF(B60="Suburban",C60*0.4,IF(B60="College",C60*0.45,C60*0.35))))+0.001)*0.3+0.7)),0))</f>
        <v/>
      </c>
      <c r="O60" s="45" t="str">
        <f aca="false">IF(N60="","",ROUND(N60/C60*100,1))</f>
        <v/>
      </c>
      <c r="P60" s="46" t="str">
        <f aca="false">IF(N60="","",IF(N60/C60&gt;=0.9,"SURGE",IF(N60/C60&gt;=0.75,"HIGH",IF(N60/C60&gt;=0.5,"NORMAL","LOW"))))</f>
        <v/>
      </c>
      <c r="Q60" s="47" t="str">
        <f aca="false">IF(N60="","",IF(N60/C60&gt;=0.9,"Request +"&amp;ROUND(N60-C60*0.85,0)&amp;" vehicles",IF(N60/C60&lt;0.4,"Transfer out "&amp;ROUND(C60*0.5-N60,0),"Hold steady")))</f>
        <v/>
      </c>
    </row>
    <row r="61" customFormat="false" ht="15" hidden="false" customHeight="true" outlineLevel="0" collapsed="false">
      <c r="N61" s="44" t="str">
        <f aca="false">IF(A61="","",ROUND(MAX(0,MIN(C61*1.1,IF(B61="Airport",C61*0.55,IF(B61="Downtown",C61*0.5,IF(B61="Suburban",C61*0.4,IF(B61="College",C61*0.45,C61*0.35))))*(1+0.2*SIN((E61-1)/12*2*PI()-PI()/3))*IF(B61="Airport",CHOOSE(MATCH(D61,{"Monday","Tuesday","Wednesday","Thursday","Friday","Saturday","Sunday"},0),1.05,1.1,1.08,1.12,1.15,0.75,0.7),IF(B61="Downtown",CHOOSE(MATCH(D61,{"Monday","Tuesday","Wednesday","Thursday","Friday","Saturday","Sunday"},0),1,1.05,1.08,1.05,1.1,0.8,0.65),IF(B61="Suburban",CHOOSE(MATCH(D61,{"Monday","Tuesday","Wednesday","Thursday","Friday","Saturday","Sunday"},0),0.8,0.82,0.85,0.88,1.05,1.25,1.2),IF(B61="College",CHOOSE(MATCH(D61,{"Monday","Tuesday","Wednesday","Thursday","Friday","Saturday","Sunday"},0),0.9,0.92,0.95,1,1.15,1.1,0.95),CHOOSE(MATCH(D61,{"Monday","Tuesday","Wednesday","Thursday","Friday","Saturday","Sunday"},0),0.85,0.85,0.88,0.9,1.1,1.2,1.15)))))*IF(F61=1,1.2,1)*IF(G61="Large",2.2,IF(G61="Medium",1.25,IF(G61="Small",1.08,1)))*IF(B61="Airport",1+(IF(H61="Severe",0.6,IF(H61="Snow",0.8,IF(H61="Rain",0.92,1)))-1)*0.3,IF(H61="Severe",0.6,IF(H61="Snow",0.8,IF(H61="Rain",0.92,1))))*(I61*0.4+J61*0.35+K61*0.25)/(IF(B61="Airport",C61*0.55,IF(B61="Downtown",C61*0.5,IF(B61="Suburban",C61*0.4,IF(B61="College",C61*0.45,C61*0.35))))+0.001)*0.3+0.7)),0))</f>
        <v/>
      </c>
      <c r="O61" s="45" t="str">
        <f aca="false">IF(N61="","",ROUND(N61/C61*100,1))</f>
        <v/>
      </c>
      <c r="P61" s="46" t="str">
        <f aca="false">IF(N61="","",IF(N61/C61&gt;=0.9,"SURGE",IF(N61/C61&gt;=0.75,"HIGH",IF(N61/C61&gt;=0.5,"NORMAL","LOW"))))</f>
        <v/>
      </c>
      <c r="Q61" s="47" t="str">
        <f aca="false">IF(N61="","",IF(N61/C61&gt;=0.9,"Request +"&amp;ROUND(N61-C61*0.85,0)&amp;" vehicles",IF(N61/C61&lt;0.4,"Transfer out "&amp;ROUND(C61*0.5-N61,0),"Hold steady")))</f>
        <v/>
      </c>
    </row>
    <row r="62" customFormat="false" ht="15" hidden="false" customHeight="true" outlineLevel="0" collapsed="false">
      <c r="N62" s="44" t="str">
        <f aca="false">IF(A62="","",ROUND(MAX(0,MIN(C62*1.1,IF(B62="Airport",C62*0.55,IF(B62="Downtown",C62*0.5,IF(B62="Suburban",C62*0.4,IF(B62="College",C62*0.45,C62*0.35))))*(1+0.2*SIN((E62-1)/12*2*PI()-PI()/3))*IF(B62="Airport",CHOOSE(MATCH(D62,{"Monday","Tuesday","Wednesday","Thursday","Friday","Saturday","Sunday"},0),1.05,1.1,1.08,1.12,1.15,0.75,0.7),IF(B62="Downtown",CHOOSE(MATCH(D62,{"Monday","Tuesday","Wednesday","Thursday","Friday","Saturday","Sunday"},0),1,1.05,1.08,1.05,1.1,0.8,0.65),IF(B62="Suburban",CHOOSE(MATCH(D62,{"Monday","Tuesday","Wednesday","Thursday","Friday","Saturday","Sunday"},0),0.8,0.82,0.85,0.88,1.05,1.25,1.2),IF(B62="College",CHOOSE(MATCH(D62,{"Monday","Tuesday","Wednesday","Thursday","Friday","Saturday","Sunday"},0),0.9,0.92,0.95,1,1.15,1.1,0.95),CHOOSE(MATCH(D62,{"Monday","Tuesday","Wednesday","Thursday","Friday","Saturday","Sunday"},0),0.85,0.85,0.88,0.9,1.1,1.2,1.15)))))*IF(F62=1,1.2,1)*IF(G62="Large",2.2,IF(G62="Medium",1.25,IF(G62="Small",1.08,1)))*IF(B62="Airport",1+(IF(H62="Severe",0.6,IF(H62="Snow",0.8,IF(H62="Rain",0.92,1)))-1)*0.3,IF(H62="Severe",0.6,IF(H62="Snow",0.8,IF(H62="Rain",0.92,1))))*(I62*0.4+J62*0.35+K62*0.25)/(IF(B62="Airport",C62*0.55,IF(B62="Downtown",C62*0.5,IF(B62="Suburban",C62*0.4,IF(B62="College",C62*0.45,C62*0.35))))+0.001)*0.3+0.7)),0))</f>
        <v/>
      </c>
      <c r="O62" s="45" t="str">
        <f aca="false">IF(N62="","",ROUND(N62/C62*100,1))</f>
        <v/>
      </c>
      <c r="P62" s="46" t="str">
        <f aca="false">IF(N62="","",IF(N62/C62&gt;=0.9,"SURGE",IF(N62/C62&gt;=0.75,"HIGH",IF(N62/C62&gt;=0.5,"NORMAL","LOW"))))</f>
        <v/>
      </c>
      <c r="Q62" s="47" t="str">
        <f aca="false">IF(N62="","",IF(N62/C62&gt;=0.9,"Request +"&amp;ROUND(N62-C62*0.85,0)&amp;" vehicles",IF(N62/C62&lt;0.4,"Transfer out "&amp;ROUND(C62*0.5-N62,0),"Hold steady")))</f>
        <v/>
      </c>
    </row>
    <row r="63" customFormat="false" ht="15" hidden="false" customHeight="true" outlineLevel="0" collapsed="false">
      <c r="N63" s="44" t="str">
        <f aca="false">IF(A63="","",ROUND(MAX(0,MIN(C63*1.1,IF(B63="Airport",C63*0.55,IF(B63="Downtown",C63*0.5,IF(B63="Suburban",C63*0.4,IF(B63="College",C63*0.45,C63*0.35))))*(1+0.2*SIN((E63-1)/12*2*PI()-PI()/3))*IF(B63="Airport",CHOOSE(MATCH(D63,{"Monday","Tuesday","Wednesday","Thursday","Friday","Saturday","Sunday"},0),1.05,1.1,1.08,1.12,1.15,0.75,0.7),IF(B63="Downtown",CHOOSE(MATCH(D63,{"Monday","Tuesday","Wednesday","Thursday","Friday","Saturday","Sunday"},0),1,1.05,1.08,1.05,1.1,0.8,0.65),IF(B63="Suburban",CHOOSE(MATCH(D63,{"Monday","Tuesday","Wednesday","Thursday","Friday","Saturday","Sunday"},0),0.8,0.82,0.85,0.88,1.05,1.25,1.2),IF(B63="College",CHOOSE(MATCH(D63,{"Monday","Tuesday","Wednesday","Thursday","Friday","Saturday","Sunday"},0),0.9,0.92,0.95,1,1.15,1.1,0.95),CHOOSE(MATCH(D63,{"Monday","Tuesday","Wednesday","Thursday","Friday","Saturday","Sunday"},0),0.85,0.85,0.88,0.9,1.1,1.2,1.15)))))*IF(F63=1,1.2,1)*IF(G63="Large",2.2,IF(G63="Medium",1.25,IF(G63="Small",1.08,1)))*IF(B63="Airport",1+(IF(H63="Severe",0.6,IF(H63="Snow",0.8,IF(H63="Rain",0.92,1)))-1)*0.3,IF(H63="Severe",0.6,IF(H63="Snow",0.8,IF(H63="Rain",0.92,1))))*(I63*0.4+J63*0.35+K63*0.25)/(IF(B63="Airport",C63*0.55,IF(B63="Downtown",C63*0.5,IF(B63="Suburban",C63*0.4,IF(B63="College",C63*0.45,C63*0.35))))+0.001)*0.3+0.7)),0))</f>
        <v/>
      </c>
      <c r="O63" s="45" t="str">
        <f aca="false">IF(N63="","",ROUND(N63/C63*100,1))</f>
        <v/>
      </c>
      <c r="P63" s="46" t="str">
        <f aca="false">IF(N63="","",IF(N63/C63&gt;=0.9,"SURGE",IF(N63/C63&gt;=0.75,"HIGH",IF(N63/C63&gt;=0.5,"NORMAL","LOW"))))</f>
        <v/>
      </c>
      <c r="Q63" s="47" t="str">
        <f aca="false">IF(N63="","",IF(N63/C63&gt;=0.9,"Request +"&amp;ROUND(N63-C63*0.85,0)&amp;" vehicles",IF(N63/C63&lt;0.4,"Transfer out "&amp;ROUND(C63*0.5-N63,0),"Hold steady")))</f>
        <v/>
      </c>
    </row>
    <row r="64" customFormat="false" ht="15" hidden="false" customHeight="true" outlineLevel="0" collapsed="false">
      <c r="N64" s="44" t="str">
        <f aca="false">IF(A64="","",ROUND(MAX(0,MIN(C64*1.1,IF(B64="Airport",C64*0.55,IF(B64="Downtown",C64*0.5,IF(B64="Suburban",C64*0.4,IF(B64="College",C64*0.45,C64*0.35))))*(1+0.2*SIN((E64-1)/12*2*PI()-PI()/3))*IF(B64="Airport",CHOOSE(MATCH(D64,{"Monday","Tuesday","Wednesday","Thursday","Friday","Saturday","Sunday"},0),1.05,1.1,1.08,1.12,1.15,0.75,0.7),IF(B64="Downtown",CHOOSE(MATCH(D64,{"Monday","Tuesday","Wednesday","Thursday","Friday","Saturday","Sunday"},0),1,1.05,1.08,1.05,1.1,0.8,0.65),IF(B64="Suburban",CHOOSE(MATCH(D64,{"Monday","Tuesday","Wednesday","Thursday","Friday","Saturday","Sunday"},0),0.8,0.82,0.85,0.88,1.05,1.25,1.2),IF(B64="College",CHOOSE(MATCH(D64,{"Monday","Tuesday","Wednesday","Thursday","Friday","Saturday","Sunday"},0),0.9,0.92,0.95,1,1.15,1.1,0.95),CHOOSE(MATCH(D64,{"Monday","Tuesday","Wednesday","Thursday","Friday","Saturday","Sunday"},0),0.85,0.85,0.88,0.9,1.1,1.2,1.15)))))*IF(F64=1,1.2,1)*IF(G64="Large",2.2,IF(G64="Medium",1.25,IF(G64="Small",1.08,1)))*IF(B64="Airport",1+(IF(H64="Severe",0.6,IF(H64="Snow",0.8,IF(H64="Rain",0.92,1)))-1)*0.3,IF(H64="Severe",0.6,IF(H64="Snow",0.8,IF(H64="Rain",0.92,1))))*(I64*0.4+J64*0.35+K64*0.25)/(IF(B64="Airport",C64*0.55,IF(B64="Downtown",C64*0.5,IF(B64="Suburban",C64*0.4,IF(B64="College",C64*0.45,C64*0.35))))+0.001)*0.3+0.7)),0))</f>
        <v/>
      </c>
      <c r="O64" s="45" t="str">
        <f aca="false">IF(N64="","",ROUND(N64/C64*100,1))</f>
        <v/>
      </c>
      <c r="P64" s="46" t="str">
        <f aca="false">IF(N64="","",IF(N64/C64&gt;=0.9,"SURGE",IF(N64/C64&gt;=0.75,"HIGH",IF(N64/C64&gt;=0.5,"NORMAL","LOW"))))</f>
        <v/>
      </c>
      <c r="Q64" s="47" t="str">
        <f aca="false">IF(N64="","",IF(N64/C64&gt;=0.9,"Request +"&amp;ROUND(N64-C64*0.85,0)&amp;" vehicles",IF(N64/C64&lt;0.4,"Transfer out "&amp;ROUND(C64*0.5-N64,0),"Hold steady")))</f>
        <v/>
      </c>
    </row>
    <row r="65" customFormat="false" ht="15" hidden="false" customHeight="true" outlineLevel="0" collapsed="false">
      <c r="N65" s="44" t="str">
        <f aca="false">IF(A65="","",ROUND(MAX(0,MIN(C65*1.1,IF(B65="Airport",C65*0.55,IF(B65="Downtown",C65*0.5,IF(B65="Suburban",C65*0.4,IF(B65="College",C65*0.45,C65*0.35))))*(1+0.2*SIN((E65-1)/12*2*PI()-PI()/3))*IF(B65="Airport",CHOOSE(MATCH(D65,{"Monday","Tuesday","Wednesday","Thursday","Friday","Saturday","Sunday"},0),1.05,1.1,1.08,1.12,1.15,0.75,0.7),IF(B65="Downtown",CHOOSE(MATCH(D65,{"Monday","Tuesday","Wednesday","Thursday","Friday","Saturday","Sunday"},0),1,1.05,1.08,1.05,1.1,0.8,0.65),IF(B65="Suburban",CHOOSE(MATCH(D65,{"Monday","Tuesday","Wednesday","Thursday","Friday","Saturday","Sunday"},0),0.8,0.82,0.85,0.88,1.05,1.25,1.2),IF(B65="College",CHOOSE(MATCH(D65,{"Monday","Tuesday","Wednesday","Thursday","Friday","Saturday","Sunday"},0),0.9,0.92,0.95,1,1.15,1.1,0.95),CHOOSE(MATCH(D65,{"Monday","Tuesday","Wednesday","Thursday","Friday","Saturday","Sunday"},0),0.85,0.85,0.88,0.9,1.1,1.2,1.15)))))*IF(F65=1,1.2,1)*IF(G65="Large",2.2,IF(G65="Medium",1.25,IF(G65="Small",1.08,1)))*IF(B65="Airport",1+(IF(H65="Severe",0.6,IF(H65="Snow",0.8,IF(H65="Rain",0.92,1)))-1)*0.3,IF(H65="Severe",0.6,IF(H65="Snow",0.8,IF(H65="Rain",0.92,1))))*(I65*0.4+J65*0.35+K65*0.25)/(IF(B65="Airport",C65*0.55,IF(B65="Downtown",C65*0.5,IF(B65="Suburban",C65*0.4,IF(B65="College",C65*0.45,C65*0.35))))+0.001)*0.3+0.7)),0))</f>
        <v/>
      </c>
      <c r="O65" s="45" t="str">
        <f aca="false">IF(N65="","",ROUND(N65/C65*100,1))</f>
        <v/>
      </c>
      <c r="P65" s="46" t="str">
        <f aca="false">IF(N65="","",IF(N65/C65&gt;=0.9,"SURGE",IF(N65/C65&gt;=0.75,"HIGH",IF(N65/C65&gt;=0.5,"NORMAL","LOW"))))</f>
        <v/>
      </c>
      <c r="Q65" s="47" t="str">
        <f aca="false">IF(N65="","",IF(N65/C65&gt;=0.9,"Request +"&amp;ROUND(N65-C65*0.85,0)&amp;" vehicles",IF(N65/C65&lt;0.4,"Transfer out "&amp;ROUND(C65*0.5-N65,0),"Hold steady")))</f>
        <v/>
      </c>
    </row>
    <row r="66" customFormat="false" ht="15" hidden="false" customHeight="true" outlineLevel="0" collapsed="false">
      <c r="N66" s="44" t="str">
        <f aca="false">IF(A66="","",ROUND(MAX(0,MIN(C66*1.1,IF(B66="Airport",C66*0.55,IF(B66="Downtown",C66*0.5,IF(B66="Suburban",C66*0.4,IF(B66="College",C66*0.45,C66*0.35))))*(1+0.2*SIN((E66-1)/12*2*PI()-PI()/3))*IF(B66="Airport",CHOOSE(MATCH(D66,{"Monday","Tuesday","Wednesday","Thursday","Friday","Saturday","Sunday"},0),1.05,1.1,1.08,1.12,1.15,0.75,0.7),IF(B66="Downtown",CHOOSE(MATCH(D66,{"Monday","Tuesday","Wednesday","Thursday","Friday","Saturday","Sunday"},0),1,1.05,1.08,1.05,1.1,0.8,0.65),IF(B66="Suburban",CHOOSE(MATCH(D66,{"Monday","Tuesday","Wednesday","Thursday","Friday","Saturday","Sunday"},0),0.8,0.82,0.85,0.88,1.05,1.25,1.2),IF(B66="College",CHOOSE(MATCH(D66,{"Monday","Tuesday","Wednesday","Thursday","Friday","Saturday","Sunday"},0),0.9,0.92,0.95,1,1.15,1.1,0.95),CHOOSE(MATCH(D66,{"Monday","Tuesday","Wednesday","Thursday","Friday","Saturday","Sunday"},0),0.85,0.85,0.88,0.9,1.1,1.2,1.15)))))*IF(F66=1,1.2,1)*IF(G66="Large",2.2,IF(G66="Medium",1.25,IF(G66="Small",1.08,1)))*IF(B66="Airport",1+(IF(H66="Severe",0.6,IF(H66="Snow",0.8,IF(H66="Rain",0.92,1)))-1)*0.3,IF(H66="Severe",0.6,IF(H66="Snow",0.8,IF(H66="Rain",0.92,1))))*(I66*0.4+J66*0.35+K66*0.25)/(IF(B66="Airport",C66*0.55,IF(B66="Downtown",C66*0.5,IF(B66="Suburban",C66*0.4,IF(B66="College",C66*0.45,C66*0.35))))+0.001)*0.3+0.7)),0))</f>
        <v/>
      </c>
      <c r="O66" s="45" t="str">
        <f aca="false">IF(N66="","",ROUND(N66/C66*100,1))</f>
        <v/>
      </c>
      <c r="P66" s="46" t="str">
        <f aca="false">IF(N66="","",IF(N66/C66&gt;=0.9,"SURGE",IF(N66/C66&gt;=0.75,"HIGH",IF(N66/C66&gt;=0.5,"NORMAL","LOW"))))</f>
        <v/>
      </c>
      <c r="Q66" s="47" t="str">
        <f aca="false">IF(N66="","",IF(N66/C66&gt;=0.9,"Request +"&amp;ROUND(N66-C66*0.85,0)&amp;" vehicles",IF(N66/C66&lt;0.4,"Transfer out "&amp;ROUND(C66*0.5-N66,0),"Hold steady")))</f>
        <v/>
      </c>
    </row>
    <row r="67" customFormat="false" ht="15" hidden="false" customHeight="true" outlineLevel="0" collapsed="false">
      <c r="N67" s="44" t="str">
        <f aca="false">IF(A67="","",ROUND(MAX(0,MIN(C67*1.1,IF(B67="Airport",C67*0.55,IF(B67="Downtown",C67*0.5,IF(B67="Suburban",C67*0.4,IF(B67="College",C67*0.45,C67*0.35))))*(1+0.2*SIN((E67-1)/12*2*PI()-PI()/3))*IF(B67="Airport",CHOOSE(MATCH(D67,{"Monday","Tuesday","Wednesday","Thursday","Friday","Saturday","Sunday"},0),1.05,1.1,1.08,1.12,1.15,0.75,0.7),IF(B67="Downtown",CHOOSE(MATCH(D67,{"Monday","Tuesday","Wednesday","Thursday","Friday","Saturday","Sunday"},0),1,1.05,1.08,1.05,1.1,0.8,0.65),IF(B67="Suburban",CHOOSE(MATCH(D67,{"Monday","Tuesday","Wednesday","Thursday","Friday","Saturday","Sunday"},0),0.8,0.82,0.85,0.88,1.05,1.25,1.2),IF(B67="College",CHOOSE(MATCH(D67,{"Monday","Tuesday","Wednesday","Thursday","Friday","Saturday","Sunday"},0),0.9,0.92,0.95,1,1.15,1.1,0.95),CHOOSE(MATCH(D67,{"Monday","Tuesday","Wednesday","Thursday","Friday","Saturday","Sunday"},0),0.85,0.85,0.88,0.9,1.1,1.2,1.15)))))*IF(F67=1,1.2,1)*IF(G67="Large",2.2,IF(G67="Medium",1.25,IF(G67="Small",1.08,1)))*IF(B67="Airport",1+(IF(H67="Severe",0.6,IF(H67="Snow",0.8,IF(H67="Rain",0.92,1)))-1)*0.3,IF(H67="Severe",0.6,IF(H67="Snow",0.8,IF(H67="Rain",0.92,1))))*(I67*0.4+J67*0.35+K67*0.25)/(IF(B67="Airport",C67*0.55,IF(B67="Downtown",C67*0.5,IF(B67="Suburban",C67*0.4,IF(B67="College",C67*0.45,C67*0.35))))+0.001)*0.3+0.7)),0))</f>
        <v/>
      </c>
      <c r="O67" s="45" t="str">
        <f aca="false">IF(N67="","",ROUND(N67/C67*100,1))</f>
        <v/>
      </c>
      <c r="P67" s="46" t="str">
        <f aca="false">IF(N67="","",IF(N67/C67&gt;=0.9,"SURGE",IF(N67/C67&gt;=0.75,"HIGH",IF(N67/C67&gt;=0.5,"NORMAL","LOW"))))</f>
        <v/>
      </c>
      <c r="Q67" s="47" t="str">
        <f aca="false">IF(N67="","",IF(N67/C67&gt;=0.9,"Request +"&amp;ROUND(N67-C67*0.85,0)&amp;" vehicles",IF(N67/C67&lt;0.4,"Transfer out "&amp;ROUND(C67*0.5-N67,0),"Hold steady")))</f>
        <v/>
      </c>
    </row>
    <row r="68" customFormat="false" ht="15" hidden="false" customHeight="true" outlineLevel="0" collapsed="false">
      <c r="N68" s="44" t="str">
        <f aca="false">IF(A68="","",ROUND(MAX(0,MIN(C68*1.1,IF(B68="Airport",C68*0.55,IF(B68="Downtown",C68*0.5,IF(B68="Suburban",C68*0.4,IF(B68="College",C68*0.45,C68*0.35))))*(1+0.2*SIN((E68-1)/12*2*PI()-PI()/3))*IF(B68="Airport",CHOOSE(MATCH(D68,{"Monday","Tuesday","Wednesday","Thursday","Friday","Saturday","Sunday"},0),1.05,1.1,1.08,1.12,1.15,0.75,0.7),IF(B68="Downtown",CHOOSE(MATCH(D68,{"Monday","Tuesday","Wednesday","Thursday","Friday","Saturday","Sunday"},0),1,1.05,1.08,1.05,1.1,0.8,0.65),IF(B68="Suburban",CHOOSE(MATCH(D68,{"Monday","Tuesday","Wednesday","Thursday","Friday","Saturday","Sunday"},0),0.8,0.82,0.85,0.88,1.05,1.25,1.2),IF(B68="College",CHOOSE(MATCH(D68,{"Monday","Tuesday","Wednesday","Thursday","Friday","Saturday","Sunday"},0),0.9,0.92,0.95,1,1.15,1.1,0.95),CHOOSE(MATCH(D68,{"Monday","Tuesday","Wednesday","Thursday","Friday","Saturday","Sunday"},0),0.85,0.85,0.88,0.9,1.1,1.2,1.15)))))*IF(F68=1,1.2,1)*IF(G68="Large",2.2,IF(G68="Medium",1.25,IF(G68="Small",1.08,1)))*IF(B68="Airport",1+(IF(H68="Severe",0.6,IF(H68="Snow",0.8,IF(H68="Rain",0.92,1)))-1)*0.3,IF(H68="Severe",0.6,IF(H68="Snow",0.8,IF(H68="Rain",0.92,1))))*(I68*0.4+J68*0.35+K68*0.25)/(IF(B68="Airport",C68*0.55,IF(B68="Downtown",C68*0.5,IF(B68="Suburban",C68*0.4,IF(B68="College",C68*0.45,C68*0.35))))+0.001)*0.3+0.7)),0))</f>
        <v/>
      </c>
      <c r="O68" s="45" t="str">
        <f aca="false">IF(N68="","",ROUND(N68/C68*100,1))</f>
        <v/>
      </c>
      <c r="P68" s="46" t="str">
        <f aca="false">IF(N68="","",IF(N68/C68&gt;=0.9,"SURGE",IF(N68/C68&gt;=0.75,"HIGH",IF(N68/C68&gt;=0.5,"NORMAL","LOW"))))</f>
        <v/>
      </c>
      <c r="Q68" s="47" t="str">
        <f aca="false">IF(N68="","",IF(N68/C68&gt;=0.9,"Request +"&amp;ROUND(N68-C68*0.85,0)&amp;" vehicles",IF(N68/C68&lt;0.4,"Transfer out "&amp;ROUND(C68*0.5-N68,0),"Hold steady")))</f>
        <v/>
      </c>
    </row>
    <row r="69" customFormat="false" ht="15" hidden="false" customHeight="true" outlineLevel="0" collapsed="false">
      <c r="N69" s="44" t="str">
        <f aca="false">IF(A69="","",ROUND(MAX(0,MIN(C69*1.1,IF(B69="Airport",C69*0.55,IF(B69="Downtown",C69*0.5,IF(B69="Suburban",C69*0.4,IF(B69="College",C69*0.45,C69*0.35))))*(1+0.2*SIN((E69-1)/12*2*PI()-PI()/3))*IF(B69="Airport",CHOOSE(MATCH(D69,{"Monday","Tuesday","Wednesday","Thursday","Friday","Saturday","Sunday"},0),1.05,1.1,1.08,1.12,1.15,0.75,0.7),IF(B69="Downtown",CHOOSE(MATCH(D69,{"Monday","Tuesday","Wednesday","Thursday","Friday","Saturday","Sunday"},0),1,1.05,1.08,1.05,1.1,0.8,0.65),IF(B69="Suburban",CHOOSE(MATCH(D69,{"Monday","Tuesday","Wednesday","Thursday","Friday","Saturday","Sunday"},0),0.8,0.82,0.85,0.88,1.05,1.25,1.2),IF(B69="College",CHOOSE(MATCH(D69,{"Monday","Tuesday","Wednesday","Thursday","Friday","Saturday","Sunday"},0),0.9,0.92,0.95,1,1.15,1.1,0.95),CHOOSE(MATCH(D69,{"Monday","Tuesday","Wednesday","Thursday","Friday","Saturday","Sunday"},0),0.85,0.85,0.88,0.9,1.1,1.2,1.15)))))*IF(F69=1,1.2,1)*IF(G69="Large",2.2,IF(G69="Medium",1.25,IF(G69="Small",1.08,1)))*IF(B69="Airport",1+(IF(H69="Severe",0.6,IF(H69="Snow",0.8,IF(H69="Rain",0.92,1)))-1)*0.3,IF(H69="Severe",0.6,IF(H69="Snow",0.8,IF(H69="Rain",0.92,1))))*(I69*0.4+J69*0.35+K69*0.25)/(IF(B69="Airport",C69*0.55,IF(B69="Downtown",C69*0.5,IF(B69="Suburban",C69*0.4,IF(B69="College",C69*0.45,C69*0.35))))+0.001)*0.3+0.7)),0))</f>
        <v/>
      </c>
      <c r="O69" s="45" t="str">
        <f aca="false">IF(N69="","",ROUND(N69/C69*100,1))</f>
        <v/>
      </c>
      <c r="P69" s="46" t="str">
        <f aca="false">IF(N69="","",IF(N69/C69&gt;=0.9,"SURGE",IF(N69/C69&gt;=0.75,"HIGH",IF(N69/C69&gt;=0.5,"NORMAL","LOW"))))</f>
        <v/>
      </c>
      <c r="Q69" s="47" t="str">
        <f aca="false">IF(N69="","",IF(N69/C69&gt;=0.9,"Request +"&amp;ROUND(N69-C69*0.85,0)&amp;" vehicles",IF(N69/C69&lt;0.4,"Transfer out "&amp;ROUND(C69*0.5-N69,0),"Hold steady")))</f>
        <v/>
      </c>
    </row>
    <row r="70" customFormat="false" ht="15" hidden="false" customHeight="true" outlineLevel="0" collapsed="false">
      <c r="N70" s="44" t="str">
        <f aca="false">IF(A70="","",ROUND(MAX(0,MIN(C70*1.1,IF(B70="Airport",C70*0.55,IF(B70="Downtown",C70*0.5,IF(B70="Suburban",C70*0.4,IF(B70="College",C70*0.45,C70*0.35))))*(1+0.2*SIN((E70-1)/12*2*PI()-PI()/3))*IF(B70="Airport",CHOOSE(MATCH(D70,{"Monday","Tuesday","Wednesday","Thursday","Friday","Saturday","Sunday"},0),1.05,1.1,1.08,1.12,1.15,0.75,0.7),IF(B70="Downtown",CHOOSE(MATCH(D70,{"Monday","Tuesday","Wednesday","Thursday","Friday","Saturday","Sunday"},0),1,1.05,1.08,1.05,1.1,0.8,0.65),IF(B70="Suburban",CHOOSE(MATCH(D70,{"Monday","Tuesday","Wednesday","Thursday","Friday","Saturday","Sunday"},0),0.8,0.82,0.85,0.88,1.05,1.25,1.2),IF(B70="College",CHOOSE(MATCH(D70,{"Monday","Tuesday","Wednesday","Thursday","Friday","Saturday","Sunday"},0),0.9,0.92,0.95,1,1.15,1.1,0.95),CHOOSE(MATCH(D70,{"Monday","Tuesday","Wednesday","Thursday","Friday","Saturday","Sunday"},0),0.85,0.85,0.88,0.9,1.1,1.2,1.15)))))*IF(F70=1,1.2,1)*IF(G70="Large",2.2,IF(G70="Medium",1.25,IF(G70="Small",1.08,1)))*IF(B70="Airport",1+(IF(H70="Severe",0.6,IF(H70="Snow",0.8,IF(H70="Rain",0.92,1)))-1)*0.3,IF(H70="Severe",0.6,IF(H70="Snow",0.8,IF(H70="Rain",0.92,1))))*(I70*0.4+J70*0.35+K70*0.25)/(IF(B70="Airport",C70*0.55,IF(B70="Downtown",C70*0.5,IF(B70="Suburban",C70*0.4,IF(B70="College",C70*0.45,C70*0.35))))+0.001)*0.3+0.7)),0))</f>
        <v/>
      </c>
      <c r="O70" s="45" t="str">
        <f aca="false">IF(N70="","",ROUND(N70/C70*100,1))</f>
        <v/>
      </c>
      <c r="P70" s="46" t="str">
        <f aca="false">IF(N70="","",IF(N70/C70&gt;=0.9,"SURGE",IF(N70/C70&gt;=0.75,"HIGH",IF(N70/C70&gt;=0.5,"NORMAL","LOW"))))</f>
        <v/>
      </c>
      <c r="Q70" s="47" t="str">
        <f aca="false">IF(N70="","",IF(N70/C70&gt;=0.9,"Request +"&amp;ROUND(N70-C70*0.85,0)&amp;" vehicles",IF(N70/C70&lt;0.4,"Transfer out "&amp;ROUND(C70*0.5-N70,0),"Hold steady")))</f>
        <v/>
      </c>
    </row>
    <row r="71" customFormat="false" ht="15" hidden="false" customHeight="true" outlineLevel="0" collapsed="false">
      <c r="N71" s="44" t="str">
        <f aca="false">IF(A71="","",ROUND(MAX(0,MIN(C71*1.1,IF(B71="Airport",C71*0.55,IF(B71="Downtown",C71*0.5,IF(B71="Suburban",C71*0.4,IF(B71="College",C71*0.45,C71*0.35))))*(1+0.2*SIN((E71-1)/12*2*PI()-PI()/3))*IF(B71="Airport",CHOOSE(MATCH(D71,{"Monday","Tuesday","Wednesday","Thursday","Friday","Saturday","Sunday"},0),1.05,1.1,1.08,1.12,1.15,0.75,0.7),IF(B71="Downtown",CHOOSE(MATCH(D71,{"Monday","Tuesday","Wednesday","Thursday","Friday","Saturday","Sunday"},0),1,1.05,1.08,1.05,1.1,0.8,0.65),IF(B71="Suburban",CHOOSE(MATCH(D71,{"Monday","Tuesday","Wednesday","Thursday","Friday","Saturday","Sunday"},0),0.8,0.82,0.85,0.88,1.05,1.25,1.2),IF(B71="College",CHOOSE(MATCH(D71,{"Monday","Tuesday","Wednesday","Thursday","Friday","Saturday","Sunday"},0),0.9,0.92,0.95,1,1.15,1.1,0.95),CHOOSE(MATCH(D71,{"Monday","Tuesday","Wednesday","Thursday","Friday","Saturday","Sunday"},0),0.85,0.85,0.88,0.9,1.1,1.2,1.15)))))*IF(F71=1,1.2,1)*IF(G71="Large",2.2,IF(G71="Medium",1.25,IF(G71="Small",1.08,1)))*IF(B71="Airport",1+(IF(H71="Severe",0.6,IF(H71="Snow",0.8,IF(H71="Rain",0.92,1)))-1)*0.3,IF(H71="Severe",0.6,IF(H71="Snow",0.8,IF(H71="Rain",0.92,1))))*(I71*0.4+J71*0.35+K71*0.25)/(IF(B71="Airport",C71*0.55,IF(B71="Downtown",C71*0.5,IF(B71="Suburban",C71*0.4,IF(B71="College",C71*0.45,C71*0.35))))+0.001)*0.3+0.7)),0))</f>
        <v/>
      </c>
      <c r="O71" s="45" t="str">
        <f aca="false">IF(N71="","",ROUND(N71/C71*100,1))</f>
        <v/>
      </c>
      <c r="P71" s="46" t="str">
        <f aca="false">IF(N71="","",IF(N71/C71&gt;=0.9,"SURGE",IF(N71/C71&gt;=0.75,"HIGH",IF(N71/C71&gt;=0.5,"NORMAL","LOW"))))</f>
        <v/>
      </c>
      <c r="Q71" s="47" t="str">
        <f aca="false">IF(N71="","",IF(N71/C71&gt;=0.9,"Request +"&amp;ROUND(N71-C71*0.85,0)&amp;" vehicles",IF(N71/C71&lt;0.4,"Transfer out "&amp;ROUND(C71*0.5-N71,0),"Hold steady")))</f>
        <v/>
      </c>
    </row>
    <row r="72" customFormat="false" ht="15" hidden="false" customHeight="true" outlineLevel="0" collapsed="false">
      <c r="N72" s="44" t="str">
        <f aca="false">IF(A72="","",ROUND(MAX(0,MIN(C72*1.1,IF(B72="Airport",C72*0.55,IF(B72="Downtown",C72*0.5,IF(B72="Suburban",C72*0.4,IF(B72="College",C72*0.45,C72*0.35))))*(1+0.2*SIN((E72-1)/12*2*PI()-PI()/3))*IF(B72="Airport",CHOOSE(MATCH(D72,{"Monday","Tuesday","Wednesday","Thursday","Friday","Saturday","Sunday"},0),1.05,1.1,1.08,1.12,1.15,0.75,0.7),IF(B72="Downtown",CHOOSE(MATCH(D72,{"Monday","Tuesday","Wednesday","Thursday","Friday","Saturday","Sunday"},0),1,1.05,1.08,1.05,1.1,0.8,0.65),IF(B72="Suburban",CHOOSE(MATCH(D72,{"Monday","Tuesday","Wednesday","Thursday","Friday","Saturday","Sunday"},0),0.8,0.82,0.85,0.88,1.05,1.25,1.2),IF(B72="College",CHOOSE(MATCH(D72,{"Monday","Tuesday","Wednesday","Thursday","Friday","Saturday","Sunday"},0),0.9,0.92,0.95,1,1.15,1.1,0.95),CHOOSE(MATCH(D72,{"Monday","Tuesday","Wednesday","Thursday","Friday","Saturday","Sunday"},0),0.85,0.85,0.88,0.9,1.1,1.2,1.15)))))*IF(F72=1,1.2,1)*IF(G72="Large",2.2,IF(G72="Medium",1.25,IF(G72="Small",1.08,1)))*IF(B72="Airport",1+(IF(H72="Severe",0.6,IF(H72="Snow",0.8,IF(H72="Rain",0.92,1)))-1)*0.3,IF(H72="Severe",0.6,IF(H72="Snow",0.8,IF(H72="Rain",0.92,1))))*(I72*0.4+J72*0.35+K72*0.25)/(IF(B72="Airport",C72*0.55,IF(B72="Downtown",C72*0.5,IF(B72="Suburban",C72*0.4,IF(B72="College",C72*0.45,C72*0.35))))+0.001)*0.3+0.7)),0))</f>
        <v/>
      </c>
      <c r="O72" s="45" t="str">
        <f aca="false">IF(N72="","",ROUND(N72/C72*100,1))</f>
        <v/>
      </c>
      <c r="P72" s="46" t="str">
        <f aca="false">IF(N72="","",IF(N72/C72&gt;=0.9,"SURGE",IF(N72/C72&gt;=0.75,"HIGH",IF(N72/C72&gt;=0.5,"NORMAL","LOW"))))</f>
        <v/>
      </c>
      <c r="Q72" s="47" t="str">
        <f aca="false">IF(N72="","",IF(N72/C72&gt;=0.9,"Request +"&amp;ROUND(N72-C72*0.85,0)&amp;" vehicles",IF(N72/C72&lt;0.4,"Transfer out "&amp;ROUND(C72*0.5-N72,0),"Hold steady")))</f>
        <v/>
      </c>
    </row>
    <row r="73" customFormat="false" ht="15" hidden="false" customHeight="true" outlineLevel="0" collapsed="false">
      <c r="N73" s="44" t="str">
        <f aca="false">IF(A73="","",ROUND(MAX(0,MIN(C73*1.1,IF(B73="Airport",C73*0.55,IF(B73="Downtown",C73*0.5,IF(B73="Suburban",C73*0.4,IF(B73="College",C73*0.45,C73*0.35))))*(1+0.2*SIN((E73-1)/12*2*PI()-PI()/3))*IF(B73="Airport",CHOOSE(MATCH(D73,{"Monday","Tuesday","Wednesday","Thursday","Friday","Saturday","Sunday"},0),1.05,1.1,1.08,1.12,1.15,0.75,0.7),IF(B73="Downtown",CHOOSE(MATCH(D73,{"Monday","Tuesday","Wednesday","Thursday","Friday","Saturday","Sunday"},0),1,1.05,1.08,1.05,1.1,0.8,0.65),IF(B73="Suburban",CHOOSE(MATCH(D73,{"Monday","Tuesday","Wednesday","Thursday","Friday","Saturday","Sunday"},0),0.8,0.82,0.85,0.88,1.05,1.25,1.2),IF(B73="College",CHOOSE(MATCH(D73,{"Monday","Tuesday","Wednesday","Thursday","Friday","Saturday","Sunday"},0),0.9,0.92,0.95,1,1.15,1.1,0.95),CHOOSE(MATCH(D73,{"Monday","Tuesday","Wednesday","Thursday","Friday","Saturday","Sunday"},0),0.85,0.85,0.88,0.9,1.1,1.2,1.15)))))*IF(F73=1,1.2,1)*IF(G73="Large",2.2,IF(G73="Medium",1.25,IF(G73="Small",1.08,1)))*IF(B73="Airport",1+(IF(H73="Severe",0.6,IF(H73="Snow",0.8,IF(H73="Rain",0.92,1)))-1)*0.3,IF(H73="Severe",0.6,IF(H73="Snow",0.8,IF(H73="Rain",0.92,1))))*(I73*0.4+J73*0.35+K73*0.25)/(IF(B73="Airport",C73*0.55,IF(B73="Downtown",C73*0.5,IF(B73="Suburban",C73*0.4,IF(B73="College",C73*0.45,C73*0.35))))+0.001)*0.3+0.7)),0))</f>
        <v/>
      </c>
      <c r="O73" s="45" t="str">
        <f aca="false">IF(N73="","",ROUND(N73/C73*100,1))</f>
        <v/>
      </c>
      <c r="P73" s="46" t="str">
        <f aca="false">IF(N73="","",IF(N73/C73&gt;=0.9,"SURGE",IF(N73/C73&gt;=0.75,"HIGH",IF(N73/C73&gt;=0.5,"NORMAL","LOW"))))</f>
        <v/>
      </c>
      <c r="Q73" s="47" t="str">
        <f aca="false">IF(N73="","",IF(N73/C73&gt;=0.9,"Request +"&amp;ROUND(N73-C73*0.85,0)&amp;" vehicles",IF(N73/C73&lt;0.4,"Transfer out "&amp;ROUND(C73*0.5-N73,0),"Hold steady")))</f>
        <v/>
      </c>
    </row>
    <row r="74" customFormat="false" ht="15" hidden="false" customHeight="true" outlineLevel="0" collapsed="false">
      <c r="N74" s="44" t="str">
        <f aca="false">IF(A74="","",ROUND(MAX(0,MIN(C74*1.1,IF(B74="Airport",C74*0.55,IF(B74="Downtown",C74*0.5,IF(B74="Suburban",C74*0.4,IF(B74="College",C74*0.45,C74*0.35))))*(1+0.2*SIN((E74-1)/12*2*PI()-PI()/3))*IF(B74="Airport",CHOOSE(MATCH(D74,{"Monday","Tuesday","Wednesday","Thursday","Friday","Saturday","Sunday"},0),1.05,1.1,1.08,1.12,1.15,0.75,0.7),IF(B74="Downtown",CHOOSE(MATCH(D74,{"Monday","Tuesday","Wednesday","Thursday","Friday","Saturday","Sunday"},0),1,1.05,1.08,1.05,1.1,0.8,0.65),IF(B74="Suburban",CHOOSE(MATCH(D74,{"Monday","Tuesday","Wednesday","Thursday","Friday","Saturday","Sunday"},0),0.8,0.82,0.85,0.88,1.05,1.25,1.2),IF(B74="College",CHOOSE(MATCH(D74,{"Monday","Tuesday","Wednesday","Thursday","Friday","Saturday","Sunday"},0),0.9,0.92,0.95,1,1.15,1.1,0.95),CHOOSE(MATCH(D74,{"Monday","Tuesday","Wednesday","Thursday","Friday","Saturday","Sunday"},0),0.85,0.85,0.88,0.9,1.1,1.2,1.15)))))*IF(F74=1,1.2,1)*IF(G74="Large",2.2,IF(G74="Medium",1.25,IF(G74="Small",1.08,1)))*IF(B74="Airport",1+(IF(H74="Severe",0.6,IF(H74="Snow",0.8,IF(H74="Rain",0.92,1)))-1)*0.3,IF(H74="Severe",0.6,IF(H74="Snow",0.8,IF(H74="Rain",0.92,1))))*(I74*0.4+J74*0.35+K74*0.25)/(IF(B74="Airport",C74*0.55,IF(B74="Downtown",C74*0.5,IF(B74="Suburban",C74*0.4,IF(B74="College",C74*0.45,C74*0.35))))+0.001)*0.3+0.7)),0))</f>
        <v/>
      </c>
      <c r="O74" s="45" t="str">
        <f aca="false">IF(N74="","",ROUND(N74/C74*100,1))</f>
        <v/>
      </c>
      <c r="P74" s="46" t="str">
        <f aca="false">IF(N74="","",IF(N74/C74&gt;=0.9,"SURGE",IF(N74/C74&gt;=0.75,"HIGH",IF(N74/C74&gt;=0.5,"NORMAL","LOW"))))</f>
        <v/>
      </c>
      <c r="Q74" s="47" t="str">
        <f aca="false">IF(N74="","",IF(N74/C74&gt;=0.9,"Request +"&amp;ROUND(N74-C74*0.85,0)&amp;" vehicles",IF(N74/C74&lt;0.4,"Transfer out "&amp;ROUND(C74*0.5-N74,0),"Hold steady")))</f>
        <v/>
      </c>
    </row>
    <row r="75" customFormat="false" ht="15" hidden="false" customHeight="true" outlineLevel="0" collapsed="false">
      <c r="N75" s="44" t="str">
        <f aca="false">IF(A75="","",ROUND(MAX(0,MIN(C75*1.1,IF(B75="Airport",C75*0.55,IF(B75="Downtown",C75*0.5,IF(B75="Suburban",C75*0.4,IF(B75="College",C75*0.45,C75*0.35))))*(1+0.2*SIN((E75-1)/12*2*PI()-PI()/3))*IF(B75="Airport",CHOOSE(MATCH(D75,{"Monday","Tuesday","Wednesday","Thursday","Friday","Saturday","Sunday"},0),1.05,1.1,1.08,1.12,1.15,0.75,0.7),IF(B75="Downtown",CHOOSE(MATCH(D75,{"Monday","Tuesday","Wednesday","Thursday","Friday","Saturday","Sunday"},0),1,1.05,1.08,1.05,1.1,0.8,0.65),IF(B75="Suburban",CHOOSE(MATCH(D75,{"Monday","Tuesday","Wednesday","Thursday","Friday","Saturday","Sunday"},0),0.8,0.82,0.85,0.88,1.05,1.25,1.2),IF(B75="College",CHOOSE(MATCH(D75,{"Monday","Tuesday","Wednesday","Thursday","Friday","Saturday","Sunday"},0),0.9,0.92,0.95,1,1.15,1.1,0.95),CHOOSE(MATCH(D75,{"Monday","Tuesday","Wednesday","Thursday","Friday","Saturday","Sunday"},0),0.85,0.85,0.88,0.9,1.1,1.2,1.15)))))*IF(F75=1,1.2,1)*IF(G75="Large",2.2,IF(G75="Medium",1.25,IF(G75="Small",1.08,1)))*IF(B75="Airport",1+(IF(H75="Severe",0.6,IF(H75="Snow",0.8,IF(H75="Rain",0.92,1)))-1)*0.3,IF(H75="Severe",0.6,IF(H75="Snow",0.8,IF(H75="Rain",0.92,1))))*(I75*0.4+J75*0.35+K75*0.25)/(IF(B75="Airport",C75*0.55,IF(B75="Downtown",C75*0.5,IF(B75="Suburban",C75*0.4,IF(B75="College",C75*0.45,C75*0.35))))+0.001)*0.3+0.7)),0))</f>
        <v/>
      </c>
      <c r="O75" s="45" t="str">
        <f aca="false">IF(N75="","",ROUND(N75/C75*100,1))</f>
        <v/>
      </c>
      <c r="P75" s="46" t="str">
        <f aca="false">IF(N75="","",IF(N75/C75&gt;=0.9,"SURGE",IF(N75/C75&gt;=0.75,"HIGH",IF(N75/C75&gt;=0.5,"NORMAL","LOW"))))</f>
        <v/>
      </c>
      <c r="Q75" s="47" t="str">
        <f aca="false">IF(N75="","",IF(N75/C75&gt;=0.9,"Request +"&amp;ROUND(N75-C75*0.85,0)&amp;" vehicles",IF(N75/C75&lt;0.4,"Transfer out "&amp;ROUND(C75*0.5-N75,0),"Hold steady")))</f>
        <v/>
      </c>
    </row>
    <row r="76" customFormat="false" ht="15" hidden="false" customHeight="true" outlineLevel="0" collapsed="false">
      <c r="N76" s="44" t="str">
        <f aca="false">IF(A76="","",ROUND(MAX(0,MIN(C76*1.1,IF(B76="Airport",C76*0.55,IF(B76="Downtown",C76*0.5,IF(B76="Suburban",C76*0.4,IF(B76="College",C76*0.45,C76*0.35))))*(1+0.2*SIN((E76-1)/12*2*PI()-PI()/3))*IF(B76="Airport",CHOOSE(MATCH(D76,{"Monday","Tuesday","Wednesday","Thursday","Friday","Saturday","Sunday"},0),1.05,1.1,1.08,1.12,1.15,0.75,0.7),IF(B76="Downtown",CHOOSE(MATCH(D76,{"Monday","Tuesday","Wednesday","Thursday","Friday","Saturday","Sunday"},0),1,1.05,1.08,1.05,1.1,0.8,0.65),IF(B76="Suburban",CHOOSE(MATCH(D76,{"Monday","Tuesday","Wednesday","Thursday","Friday","Saturday","Sunday"},0),0.8,0.82,0.85,0.88,1.05,1.25,1.2),IF(B76="College",CHOOSE(MATCH(D76,{"Monday","Tuesday","Wednesday","Thursday","Friday","Saturday","Sunday"},0),0.9,0.92,0.95,1,1.15,1.1,0.95),CHOOSE(MATCH(D76,{"Monday","Tuesday","Wednesday","Thursday","Friday","Saturday","Sunday"},0),0.85,0.85,0.88,0.9,1.1,1.2,1.15)))))*IF(F76=1,1.2,1)*IF(G76="Large",2.2,IF(G76="Medium",1.25,IF(G76="Small",1.08,1)))*IF(B76="Airport",1+(IF(H76="Severe",0.6,IF(H76="Snow",0.8,IF(H76="Rain",0.92,1)))-1)*0.3,IF(H76="Severe",0.6,IF(H76="Snow",0.8,IF(H76="Rain",0.92,1))))*(I76*0.4+J76*0.35+K76*0.25)/(IF(B76="Airport",C76*0.55,IF(B76="Downtown",C76*0.5,IF(B76="Suburban",C76*0.4,IF(B76="College",C76*0.45,C76*0.35))))+0.001)*0.3+0.7)),0))</f>
        <v/>
      </c>
      <c r="O76" s="45" t="str">
        <f aca="false">IF(N76="","",ROUND(N76/C76*100,1))</f>
        <v/>
      </c>
      <c r="P76" s="46" t="str">
        <f aca="false">IF(N76="","",IF(N76/C76&gt;=0.9,"SURGE",IF(N76/C76&gt;=0.75,"HIGH",IF(N76/C76&gt;=0.5,"NORMAL","LOW"))))</f>
        <v/>
      </c>
      <c r="Q76" s="47" t="str">
        <f aca="false">IF(N76="","",IF(N76/C76&gt;=0.9,"Request +"&amp;ROUND(N76-C76*0.85,0)&amp;" vehicles",IF(N76/C76&lt;0.4,"Transfer out "&amp;ROUND(C76*0.5-N76,0),"Hold steady")))</f>
        <v/>
      </c>
    </row>
    <row r="77" customFormat="false" ht="15" hidden="false" customHeight="true" outlineLevel="0" collapsed="false">
      <c r="N77" s="44" t="str">
        <f aca="false">IF(A77="","",ROUND(MAX(0,MIN(C77*1.1,IF(B77="Airport",C77*0.55,IF(B77="Downtown",C77*0.5,IF(B77="Suburban",C77*0.4,IF(B77="College",C77*0.45,C77*0.35))))*(1+0.2*SIN((E77-1)/12*2*PI()-PI()/3))*IF(B77="Airport",CHOOSE(MATCH(D77,{"Monday","Tuesday","Wednesday","Thursday","Friday","Saturday","Sunday"},0),1.05,1.1,1.08,1.12,1.15,0.75,0.7),IF(B77="Downtown",CHOOSE(MATCH(D77,{"Monday","Tuesday","Wednesday","Thursday","Friday","Saturday","Sunday"},0),1,1.05,1.08,1.05,1.1,0.8,0.65),IF(B77="Suburban",CHOOSE(MATCH(D77,{"Monday","Tuesday","Wednesday","Thursday","Friday","Saturday","Sunday"},0),0.8,0.82,0.85,0.88,1.05,1.25,1.2),IF(B77="College",CHOOSE(MATCH(D77,{"Monday","Tuesday","Wednesday","Thursday","Friday","Saturday","Sunday"},0),0.9,0.92,0.95,1,1.15,1.1,0.95),CHOOSE(MATCH(D77,{"Monday","Tuesday","Wednesday","Thursday","Friday","Saturday","Sunday"},0),0.85,0.85,0.88,0.9,1.1,1.2,1.15)))))*IF(F77=1,1.2,1)*IF(G77="Large",2.2,IF(G77="Medium",1.25,IF(G77="Small",1.08,1)))*IF(B77="Airport",1+(IF(H77="Severe",0.6,IF(H77="Snow",0.8,IF(H77="Rain",0.92,1)))-1)*0.3,IF(H77="Severe",0.6,IF(H77="Snow",0.8,IF(H77="Rain",0.92,1))))*(I77*0.4+J77*0.35+K77*0.25)/(IF(B77="Airport",C77*0.55,IF(B77="Downtown",C77*0.5,IF(B77="Suburban",C77*0.4,IF(B77="College",C77*0.45,C77*0.35))))+0.001)*0.3+0.7)),0))</f>
        <v/>
      </c>
      <c r="O77" s="45" t="str">
        <f aca="false">IF(N77="","",ROUND(N77/C77*100,1))</f>
        <v/>
      </c>
      <c r="P77" s="46" t="str">
        <f aca="false">IF(N77="","",IF(N77/C77&gt;=0.9,"SURGE",IF(N77/C77&gt;=0.75,"HIGH",IF(N77/C77&gt;=0.5,"NORMAL","LOW"))))</f>
        <v/>
      </c>
      <c r="Q77" s="47" t="str">
        <f aca="false">IF(N77="","",IF(N77/C77&gt;=0.9,"Request +"&amp;ROUND(N77-C77*0.85,0)&amp;" vehicles",IF(N77/C77&lt;0.4,"Transfer out "&amp;ROUND(C77*0.5-N77,0),"Hold steady")))</f>
        <v/>
      </c>
    </row>
    <row r="78" customFormat="false" ht="15" hidden="false" customHeight="true" outlineLevel="0" collapsed="false">
      <c r="N78" s="44" t="str">
        <f aca="false">IF(A78="","",ROUND(MAX(0,MIN(C78*1.1,IF(B78="Airport",C78*0.55,IF(B78="Downtown",C78*0.5,IF(B78="Suburban",C78*0.4,IF(B78="College",C78*0.45,C78*0.35))))*(1+0.2*SIN((E78-1)/12*2*PI()-PI()/3))*IF(B78="Airport",CHOOSE(MATCH(D78,{"Monday","Tuesday","Wednesday","Thursday","Friday","Saturday","Sunday"},0),1.05,1.1,1.08,1.12,1.15,0.75,0.7),IF(B78="Downtown",CHOOSE(MATCH(D78,{"Monday","Tuesday","Wednesday","Thursday","Friday","Saturday","Sunday"},0),1,1.05,1.08,1.05,1.1,0.8,0.65),IF(B78="Suburban",CHOOSE(MATCH(D78,{"Monday","Tuesday","Wednesday","Thursday","Friday","Saturday","Sunday"},0),0.8,0.82,0.85,0.88,1.05,1.25,1.2),IF(B78="College",CHOOSE(MATCH(D78,{"Monday","Tuesday","Wednesday","Thursday","Friday","Saturday","Sunday"},0),0.9,0.92,0.95,1,1.15,1.1,0.95),CHOOSE(MATCH(D78,{"Monday","Tuesday","Wednesday","Thursday","Friday","Saturday","Sunday"},0),0.85,0.85,0.88,0.9,1.1,1.2,1.15)))))*IF(F78=1,1.2,1)*IF(G78="Large",2.2,IF(G78="Medium",1.25,IF(G78="Small",1.08,1)))*IF(B78="Airport",1+(IF(H78="Severe",0.6,IF(H78="Snow",0.8,IF(H78="Rain",0.92,1)))-1)*0.3,IF(H78="Severe",0.6,IF(H78="Snow",0.8,IF(H78="Rain",0.92,1))))*(I78*0.4+J78*0.35+K78*0.25)/(IF(B78="Airport",C78*0.55,IF(B78="Downtown",C78*0.5,IF(B78="Suburban",C78*0.4,IF(B78="College",C78*0.45,C78*0.35))))+0.001)*0.3+0.7)),0))</f>
        <v/>
      </c>
      <c r="O78" s="45" t="str">
        <f aca="false">IF(N78="","",ROUND(N78/C78*100,1))</f>
        <v/>
      </c>
      <c r="P78" s="46" t="str">
        <f aca="false">IF(N78="","",IF(N78/C78&gt;=0.9,"SURGE",IF(N78/C78&gt;=0.75,"HIGH",IF(N78/C78&gt;=0.5,"NORMAL","LOW"))))</f>
        <v/>
      </c>
      <c r="Q78" s="47" t="str">
        <f aca="false">IF(N78="","",IF(N78/C78&gt;=0.9,"Request +"&amp;ROUND(N78-C78*0.85,0)&amp;" vehicles",IF(N78/C78&lt;0.4,"Transfer out "&amp;ROUND(C78*0.5-N78,0),"Hold steady")))</f>
        <v/>
      </c>
    </row>
    <row r="79" customFormat="false" ht="15" hidden="false" customHeight="true" outlineLevel="0" collapsed="false">
      <c r="N79" s="44" t="str">
        <f aca="false">IF(A79="","",ROUND(MAX(0,MIN(C79*1.1,IF(B79="Airport",C79*0.55,IF(B79="Downtown",C79*0.5,IF(B79="Suburban",C79*0.4,IF(B79="College",C79*0.45,C79*0.35))))*(1+0.2*SIN((E79-1)/12*2*PI()-PI()/3))*IF(B79="Airport",CHOOSE(MATCH(D79,{"Monday","Tuesday","Wednesday","Thursday","Friday","Saturday","Sunday"},0),1.05,1.1,1.08,1.12,1.15,0.75,0.7),IF(B79="Downtown",CHOOSE(MATCH(D79,{"Monday","Tuesday","Wednesday","Thursday","Friday","Saturday","Sunday"},0),1,1.05,1.08,1.05,1.1,0.8,0.65),IF(B79="Suburban",CHOOSE(MATCH(D79,{"Monday","Tuesday","Wednesday","Thursday","Friday","Saturday","Sunday"},0),0.8,0.82,0.85,0.88,1.05,1.25,1.2),IF(B79="College",CHOOSE(MATCH(D79,{"Monday","Tuesday","Wednesday","Thursday","Friday","Saturday","Sunday"},0),0.9,0.92,0.95,1,1.15,1.1,0.95),CHOOSE(MATCH(D79,{"Monday","Tuesday","Wednesday","Thursday","Friday","Saturday","Sunday"},0),0.85,0.85,0.88,0.9,1.1,1.2,1.15)))))*IF(F79=1,1.2,1)*IF(G79="Large",2.2,IF(G79="Medium",1.25,IF(G79="Small",1.08,1)))*IF(B79="Airport",1+(IF(H79="Severe",0.6,IF(H79="Snow",0.8,IF(H79="Rain",0.92,1)))-1)*0.3,IF(H79="Severe",0.6,IF(H79="Snow",0.8,IF(H79="Rain",0.92,1))))*(I79*0.4+J79*0.35+K79*0.25)/(IF(B79="Airport",C79*0.55,IF(B79="Downtown",C79*0.5,IF(B79="Suburban",C79*0.4,IF(B79="College",C79*0.45,C79*0.35))))+0.001)*0.3+0.7)),0))</f>
        <v/>
      </c>
      <c r="O79" s="45" t="str">
        <f aca="false">IF(N79="","",ROUND(N79/C79*100,1))</f>
        <v/>
      </c>
      <c r="P79" s="46" t="str">
        <f aca="false">IF(N79="","",IF(N79/C79&gt;=0.9,"SURGE",IF(N79/C79&gt;=0.75,"HIGH",IF(N79/C79&gt;=0.5,"NORMAL","LOW"))))</f>
        <v/>
      </c>
      <c r="Q79" s="47" t="str">
        <f aca="false">IF(N79="","",IF(N79/C79&gt;=0.9,"Request +"&amp;ROUND(N79-C79*0.85,0)&amp;" vehicles",IF(N79/C79&lt;0.4,"Transfer out "&amp;ROUND(C79*0.5-N79,0),"Hold steady")))</f>
        <v/>
      </c>
    </row>
    <row r="80" customFormat="false" ht="15" hidden="false" customHeight="true" outlineLevel="0" collapsed="false">
      <c r="N80" s="44" t="str">
        <f aca="false">IF(A80="","",ROUND(MAX(0,MIN(C80*1.1,IF(B80="Airport",C80*0.55,IF(B80="Downtown",C80*0.5,IF(B80="Suburban",C80*0.4,IF(B80="College",C80*0.45,C80*0.35))))*(1+0.2*SIN((E80-1)/12*2*PI()-PI()/3))*IF(B80="Airport",CHOOSE(MATCH(D80,{"Monday","Tuesday","Wednesday","Thursday","Friday","Saturday","Sunday"},0),1.05,1.1,1.08,1.12,1.15,0.75,0.7),IF(B80="Downtown",CHOOSE(MATCH(D80,{"Monday","Tuesday","Wednesday","Thursday","Friday","Saturday","Sunday"},0),1,1.05,1.08,1.05,1.1,0.8,0.65),IF(B80="Suburban",CHOOSE(MATCH(D80,{"Monday","Tuesday","Wednesday","Thursday","Friday","Saturday","Sunday"},0),0.8,0.82,0.85,0.88,1.05,1.25,1.2),IF(B80="College",CHOOSE(MATCH(D80,{"Monday","Tuesday","Wednesday","Thursday","Friday","Saturday","Sunday"},0),0.9,0.92,0.95,1,1.15,1.1,0.95),CHOOSE(MATCH(D80,{"Monday","Tuesday","Wednesday","Thursday","Friday","Saturday","Sunday"},0),0.85,0.85,0.88,0.9,1.1,1.2,1.15)))))*IF(F80=1,1.2,1)*IF(G80="Large",2.2,IF(G80="Medium",1.25,IF(G80="Small",1.08,1)))*IF(B80="Airport",1+(IF(H80="Severe",0.6,IF(H80="Snow",0.8,IF(H80="Rain",0.92,1)))-1)*0.3,IF(H80="Severe",0.6,IF(H80="Snow",0.8,IF(H80="Rain",0.92,1))))*(I80*0.4+J80*0.35+K80*0.25)/(IF(B80="Airport",C80*0.55,IF(B80="Downtown",C80*0.5,IF(B80="Suburban",C80*0.4,IF(B80="College",C80*0.45,C80*0.35))))+0.001)*0.3+0.7)),0))</f>
        <v/>
      </c>
      <c r="O80" s="45" t="str">
        <f aca="false">IF(N80="","",ROUND(N80/C80*100,1))</f>
        <v/>
      </c>
      <c r="P80" s="46" t="str">
        <f aca="false">IF(N80="","",IF(N80/C80&gt;=0.9,"SURGE",IF(N80/C80&gt;=0.75,"HIGH",IF(N80/C80&gt;=0.5,"NORMAL","LOW"))))</f>
        <v/>
      </c>
      <c r="Q80" s="47" t="str">
        <f aca="false">IF(N80="","",IF(N80/C80&gt;=0.9,"Request +"&amp;ROUND(N80-C80*0.85,0)&amp;" vehicles",IF(N80/C80&lt;0.4,"Transfer out "&amp;ROUND(C80*0.5-N80,0),"Hold steady")))</f>
        <v/>
      </c>
    </row>
    <row r="81" customFormat="false" ht="15" hidden="false" customHeight="true" outlineLevel="0" collapsed="false">
      <c r="N81" s="44" t="str">
        <f aca="false">IF(A81="","",ROUND(MAX(0,MIN(C81*1.1,IF(B81="Airport",C81*0.55,IF(B81="Downtown",C81*0.5,IF(B81="Suburban",C81*0.4,IF(B81="College",C81*0.45,C81*0.35))))*(1+0.2*SIN((E81-1)/12*2*PI()-PI()/3))*IF(B81="Airport",CHOOSE(MATCH(D81,{"Monday","Tuesday","Wednesday","Thursday","Friday","Saturday","Sunday"},0),1.05,1.1,1.08,1.12,1.15,0.75,0.7),IF(B81="Downtown",CHOOSE(MATCH(D81,{"Monday","Tuesday","Wednesday","Thursday","Friday","Saturday","Sunday"},0),1,1.05,1.08,1.05,1.1,0.8,0.65),IF(B81="Suburban",CHOOSE(MATCH(D81,{"Monday","Tuesday","Wednesday","Thursday","Friday","Saturday","Sunday"},0),0.8,0.82,0.85,0.88,1.05,1.25,1.2),IF(B81="College",CHOOSE(MATCH(D81,{"Monday","Tuesday","Wednesday","Thursday","Friday","Saturday","Sunday"},0),0.9,0.92,0.95,1,1.15,1.1,0.95),CHOOSE(MATCH(D81,{"Monday","Tuesday","Wednesday","Thursday","Friday","Saturday","Sunday"},0),0.85,0.85,0.88,0.9,1.1,1.2,1.15)))))*IF(F81=1,1.2,1)*IF(G81="Large",2.2,IF(G81="Medium",1.25,IF(G81="Small",1.08,1)))*IF(B81="Airport",1+(IF(H81="Severe",0.6,IF(H81="Snow",0.8,IF(H81="Rain",0.92,1)))-1)*0.3,IF(H81="Severe",0.6,IF(H81="Snow",0.8,IF(H81="Rain",0.92,1))))*(I81*0.4+J81*0.35+K81*0.25)/(IF(B81="Airport",C81*0.55,IF(B81="Downtown",C81*0.5,IF(B81="Suburban",C81*0.4,IF(B81="College",C81*0.45,C81*0.35))))+0.001)*0.3+0.7)),0))</f>
        <v/>
      </c>
      <c r="O81" s="45" t="str">
        <f aca="false">IF(N81="","",ROUND(N81/C81*100,1))</f>
        <v/>
      </c>
      <c r="P81" s="46" t="str">
        <f aca="false">IF(N81="","",IF(N81/C81&gt;=0.9,"SURGE",IF(N81/C81&gt;=0.75,"HIGH",IF(N81/C81&gt;=0.5,"NORMAL","LOW"))))</f>
        <v/>
      </c>
      <c r="Q81" s="47" t="str">
        <f aca="false">IF(N81="","",IF(N81/C81&gt;=0.9,"Request +"&amp;ROUND(N81-C81*0.85,0)&amp;" vehicles",IF(N81/C81&lt;0.4,"Transfer out "&amp;ROUND(C81*0.5-N81,0),"Hold steady")))</f>
        <v/>
      </c>
    </row>
    <row r="82" customFormat="false" ht="15" hidden="false" customHeight="true" outlineLevel="0" collapsed="false">
      <c r="N82" s="44" t="str">
        <f aca="false">IF(A82="","",ROUND(MAX(0,MIN(C82*1.1,IF(B82="Airport",C82*0.55,IF(B82="Downtown",C82*0.5,IF(B82="Suburban",C82*0.4,IF(B82="College",C82*0.45,C82*0.35))))*(1+0.2*SIN((E82-1)/12*2*PI()-PI()/3))*IF(B82="Airport",CHOOSE(MATCH(D82,{"Monday","Tuesday","Wednesday","Thursday","Friday","Saturday","Sunday"},0),1.05,1.1,1.08,1.12,1.15,0.75,0.7),IF(B82="Downtown",CHOOSE(MATCH(D82,{"Monday","Tuesday","Wednesday","Thursday","Friday","Saturday","Sunday"},0),1,1.05,1.08,1.05,1.1,0.8,0.65),IF(B82="Suburban",CHOOSE(MATCH(D82,{"Monday","Tuesday","Wednesday","Thursday","Friday","Saturday","Sunday"},0),0.8,0.82,0.85,0.88,1.05,1.25,1.2),IF(B82="College",CHOOSE(MATCH(D82,{"Monday","Tuesday","Wednesday","Thursday","Friday","Saturday","Sunday"},0),0.9,0.92,0.95,1,1.15,1.1,0.95),CHOOSE(MATCH(D82,{"Monday","Tuesday","Wednesday","Thursday","Friday","Saturday","Sunday"},0),0.85,0.85,0.88,0.9,1.1,1.2,1.15)))))*IF(F82=1,1.2,1)*IF(G82="Large",2.2,IF(G82="Medium",1.25,IF(G82="Small",1.08,1)))*IF(B82="Airport",1+(IF(H82="Severe",0.6,IF(H82="Snow",0.8,IF(H82="Rain",0.92,1)))-1)*0.3,IF(H82="Severe",0.6,IF(H82="Snow",0.8,IF(H82="Rain",0.92,1))))*(I82*0.4+J82*0.35+K82*0.25)/(IF(B82="Airport",C82*0.55,IF(B82="Downtown",C82*0.5,IF(B82="Suburban",C82*0.4,IF(B82="College",C82*0.45,C82*0.35))))+0.001)*0.3+0.7)),0))</f>
        <v/>
      </c>
      <c r="O82" s="45" t="str">
        <f aca="false">IF(N82="","",ROUND(N82/C82*100,1))</f>
        <v/>
      </c>
      <c r="P82" s="46" t="str">
        <f aca="false">IF(N82="","",IF(N82/C82&gt;=0.9,"SURGE",IF(N82/C82&gt;=0.75,"HIGH",IF(N82/C82&gt;=0.5,"NORMAL","LOW"))))</f>
        <v/>
      </c>
      <c r="Q82" s="47" t="str">
        <f aca="false">IF(N82="","",IF(N82/C82&gt;=0.9,"Request +"&amp;ROUND(N82-C82*0.85,0)&amp;" vehicles",IF(N82/C82&lt;0.4,"Transfer out "&amp;ROUND(C82*0.5-N82,0),"Hold steady")))</f>
        <v/>
      </c>
    </row>
    <row r="83" customFormat="false" ht="15" hidden="false" customHeight="true" outlineLevel="0" collapsed="false">
      <c r="N83" s="44" t="str">
        <f aca="false">IF(A83="","",ROUND(MAX(0,MIN(C83*1.1,IF(B83="Airport",C83*0.55,IF(B83="Downtown",C83*0.5,IF(B83="Suburban",C83*0.4,IF(B83="College",C83*0.45,C83*0.35))))*(1+0.2*SIN((E83-1)/12*2*PI()-PI()/3))*IF(B83="Airport",CHOOSE(MATCH(D83,{"Monday","Tuesday","Wednesday","Thursday","Friday","Saturday","Sunday"},0),1.05,1.1,1.08,1.12,1.15,0.75,0.7),IF(B83="Downtown",CHOOSE(MATCH(D83,{"Monday","Tuesday","Wednesday","Thursday","Friday","Saturday","Sunday"},0),1,1.05,1.08,1.05,1.1,0.8,0.65),IF(B83="Suburban",CHOOSE(MATCH(D83,{"Monday","Tuesday","Wednesday","Thursday","Friday","Saturday","Sunday"},0),0.8,0.82,0.85,0.88,1.05,1.25,1.2),IF(B83="College",CHOOSE(MATCH(D83,{"Monday","Tuesday","Wednesday","Thursday","Friday","Saturday","Sunday"},0),0.9,0.92,0.95,1,1.15,1.1,0.95),CHOOSE(MATCH(D83,{"Monday","Tuesday","Wednesday","Thursday","Friday","Saturday","Sunday"},0),0.85,0.85,0.88,0.9,1.1,1.2,1.15)))))*IF(F83=1,1.2,1)*IF(G83="Large",2.2,IF(G83="Medium",1.25,IF(G83="Small",1.08,1)))*IF(B83="Airport",1+(IF(H83="Severe",0.6,IF(H83="Snow",0.8,IF(H83="Rain",0.92,1)))-1)*0.3,IF(H83="Severe",0.6,IF(H83="Snow",0.8,IF(H83="Rain",0.92,1))))*(I83*0.4+J83*0.35+K83*0.25)/(IF(B83="Airport",C83*0.55,IF(B83="Downtown",C83*0.5,IF(B83="Suburban",C83*0.4,IF(B83="College",C83*0.45,C83*0.35))))+0.001)*0.3+0.7)),0))</f>
        <v/>
      </c>
      <c r="O83" s="45" t="str">
        <f aca="false">IF(N83="","",ROUND(N83/C83*100,1))</f>
        <v/>
      </c>
      <c r="P83" s="46" t="str">
        <f aca="false">IF(N83="","",IF(N83/C83&gt;=0.9,"SURGE",IF(N83/C83&gt;=0.75,"HIGH",IF(N83/C83&gt;=0.5,"NORMAL","LOW"))))</f>
        <v/>
      </c>
      <c r="Q83" s="47" t="str">
        <f aca="false">IF(N83="","",IF(N83/C83&gt;=0.9,"Request +"&amp;ROUND(N83-C83*0.85,0)&amp;" vehicles",IF(N83/C83&lt;0.4,"Transfer out "&amp;ROUND(C83*0.5-N83,0),"Hold steady")))</f>
        <v/>
      </c>
    </row>
    <row r="84" customFormat="false" ht="15" hidden="false" customHeight="true" outlineLevel="0" collapsed="false">
      <c r="N84" s="44" t="str">
        <f aca="false">IF(A84="","",ROUND(MAX(0,MIN(C84*1.1,IF(B84="Airport",C84*0.55,IF(B84="Downtown",C84*0.5,IF(B84="Suburban",C84*0.4,IF(B84="College",C84*0.45,C84*0.35))))*(1+0.2*SIN((E84-1)/12*2*PI()-PI()/3))*IF(B84="Airport",CHOOSE(MATCH(D84,{"Monday","Tuesday","Wednesday","Thursday","Friday","Saturday","Sunday"},0),1.05,1.1,1.08,1.12,1.15,0.75,0.7),IF(B84="Downtown",CHOOSE(MATCH(D84,{"Monday","Tuesday","Wednesday","Thursday","Friday","Saturday","Sunday"},0),1,1.05,1.08,1.05,1.1,0.8,0.65),IF(B84="Suburban",CHOOSE(MATCH(D84,{"Monday","Tuesday","Wednesday","Thursday","Friday","Saturday","Sunday"},0),0.8,0.82,0.85,0.88,1.05,1.25,1.2),IF(B84="College",CHOOSE(MATCH(D84,{"Monday","Tuesday","Wednesday","Thursday","Friday","Saturday","Sunday"},0),0.9,0.92,0.95,1,1.15,1.1,0.95),CHOOSE(MATCH(D84,{"Monday","Tuesday","Wednesday","Thursday","Friday","Saturday","Sunday"},0),0.85,0.85,0.88,0.9,1.1,1.2,1.15)))))*IF(F84=1,1.2,1)*IF(G84="Large",2.2,IF(G84="Medium",1.25,IF(G84="Small",1.08,1)))*IF(B84="Airport",1+(IF(H84="Severe",0.6,IF(H84="Snow",0.8,IF(H84="Rain",0.92,1)))-1)*0.3,IF(H84="Severe",0.6,IF(H84="Snow",0.8,IF(H84="Rain",0.92,1))))*(I84*0.4+J84*0.35+K84*0.25)/(IF(B84="Airport",C84*0.55,IF(B84="Downtown",C84*0.5,IF(B84="Suburban",C84*0.4,IF(B84="College",C84*0.45,C84*0.35))))+0.001)*0.3+0.7)),0))</f>
        <v/>
      </c>
      <c r="O84" s="45" t="str">
        <f aca="false">IF(N84="","",ROUND(N84/C84*100,1))</f>
        <v/>
      </c>
      <c r="P84" s="46" t="str">
        <f aca="false">IF(N84="","",IF(N84/C84&gt;=0.9,"SURGE",IF(N84/C84&gt;=0.75,"HIGH",IF(N84/C84&gt;=0.5,"NORMAL","LOW"))))</f>
        <v/>
      </c>
      <c r="Q84" s="47" t="str">
        <f aca="false">IF(N84="","",IF(N84/C84&gt;=0.9,"Request +"&amp;ROUND(N84-C84*0.85,0)&amp;" vehicles",IF(N84/C84&lt;0.4,"Transfer out "&amp;ROUND(C84*0.5-N84,0),"Hold steady")))</f>
        <v/>
      </c>
    </row>
    <row r="85" customFormat="false" ht="15" hidden="false" customHeight="true" outlineLevel="0" collapsed="false">
      <c r="N85" s="44" t="str">
        <f aca="false">IF(A85="","",ROUND(MAX(0,MIN(C85*1.1,IF(B85="Airport",C85*0.55,IF(B85="Downtown",C85*0.5,IF(B85="Suburban",C85*0.4,IF(B85="College",C85*0.45,C85*0.35))))*(1+0.2*SIN((E85-1)/12*2*PI()-PI()/3))*IF(B85="Airport",CHOOSE(MATCH(D85,{"Monday","Tuesday","Wednesday","Thursday","Friday","Saturday","Sunday"},0),1.05,1.1,1.08,1.12,1.15,0.75,0.7),IF(B85="Downtown",CHOOSE(MATCH(D85,{"Monday","Tuesday","Wednesday","Thursday","Friday","Saturday","Sunday"},0),1,1.05,1.08,1.05,1.1,0.8,0.65),IF(B85="Suburban",CHOOSE(MATCH(D85,{"Monday","Tuesday","Wednesday","Thursday","Friday","Saturday","Sunday"},0),0.8,0.82,0.85,0.88,1.05,1.25,1.2),IF(B85="College",CHOOSE(MATCH(D85,{"Monday","Tuesday","Wednesday","Thursday","Friday","Saturday","Sunday"},0),0.9,0.92,0.95,1,1.15,1.1,0.95),CHOOSE(MATCH(D85,{"Monday","Tuesday","Wednesday","Thursday","Friday","Saturday","Sunday"},0),0.85,0.85,0.88,0.9,1.1,1.2,1.15)))))*IF(F85=1,1.2,1)*IF(G85="Large",2.2,IF(G85="Medium",1.25,IF(G85="Small",1.08,1)))*IF(B85="Airport",1+(IF(H85="Severe",0.6,IF(H85="Snow",0.8,IF(H85="Rain",0.92,1)))-1)*0.3,IF(H85="Severe",0.6,IF(H85="Snow",0.8,IF(H85="Rain",0.92,1))))*(I85*0.4+J85*0.35+K85*0.25)/(IF(B85="Airport",C85*0.55,IF(B85="Downtown",C85*0.5,IF(B85="Suburban",C85*0.4,IF(B85="College",C85*0.45,C85*0.35))))+0.001)*0.3+0.7)),0))</f>
        <v/>
      </c>
      <c r="O85" s="45" t="str">
        <f aca="false">IF(N85="","",ROUND(N85/C85*100,1))</f>
        <v/>
      </c>
      <c r="P85" s="46" t="str">
        <f aca="false">IF(N85="","",IF(N85/C85&gt;=0.9,"SURGE",IF(N85/C85&gt;=0.75,"HIGH",IF(N85/C85&gt;=0.5,"NORMAL","LOW"))))</f>
        <v/>
      </c>
      <c r="Q85" s="47" t="str">
        <f aca="false">IF(N85="","",IF(N85/C85&gt;=0.9,"Request +"&amp;ROUND(N85-C85*0.85,0)&amp;" vehicles",IF(N85/C85&lt;0.4,"Transfer out "&amp;ROUND(C85*0.5-N85,0),"Hold steady")))</f>
        <v/>
      </c>
    </row>
    <row r="86" customFormat="false" ht="15" hidden="false" customHeight="true" outlineLevel="0" collapsed="false">
      <c r="N86" s="44" t="str">
        <f aca="false">IF(A86="","",ROUND(MAX(0,MIN(C86*1.1,IF(B86="Airport",C86*0.55,IF(B86="Downtown",C86*0.5,IF(B86="Suburban",C86*0.4,IF(B86="College",C86*0.45,C86*0.35))))*(1+0.2*SIN((E86-1)/12*2*PI()-PI()/3))*IF(B86="Airport",CHOOSE(MATCH(D86,{"Monday","Tuesday","Wednesday","Thursday","Friday","Saturday","Sunday"},0),1.05,1.1,1.08,1.12,1.15,0.75,0.7),IF(B86="Downtown",CHOOSE(MATCH(D86,{"Monday","Tuesday","Wednesday","Thursday","Friday","Saturday","Sunday"},0),1,1.05,1.08,1.05,1.1,0.8,0.65),IF(B86="Suburban",CHOOSE(MATCH(D86,{"Monday","Tuesday","Wednesday","Thursday","Friday","Saturday","Sunday"},0),0.8,0.82,0.85,0.88,1.05,1.25,1.2),IF(B86="College",CHOOSE(MATCH(D86,{"Monday","Tuesday","Wednesday","Thursday","Friday","Saturday","Sunday"},0),0.9,0.92,0.95,1,1.15,1.1,0.95),CHOOSE(MATCH(D86,{"Monday","Tuesday","Wednesday","Thursday","Friday","Saturday","Sunday"},0),0.85,0.85,0.88,0.9,1.1,1.2,1.15)))))*IF(F86=1,1.2,1)*IF(G86="Large",2.2,IF(G86="Medium",1.25,IF(G86="Small",1.08,1)))*IF(B86="Airport",1+(IF(H86="Severe",0.6,IF(H86="Snow",0.8,IF(H86="Rain",0.92,1)))-1)*0.3,IF(H86="Severe",0.6,IF(H86="Snow",0.8,IF(H86="Rain",0.92,1))))*(I86*0.4+J86*0.35+K86*0.25)/(IF(B86="Airport",C86*0.55,IF(B86="Downtown",C86*0.5,IF(B86="Suburban",C86*0.4,IF(B86="College",C86*0.45,C86*0.35))))+0.001)*0.3+0.7)),0))</f>
        <v/>
      </c>
      <c r="O86" s="45" t="str">
        <f aca="false">IF(N86="","",ROUND(N86/C86*100,1))</f>
        <v/>
      </c>
      <c r="P86" s="46" t="str">
        <f aca="false">IF(N86="","",IF(N86/C86&gt;=0.9,"SURGE",IF(N86/C86&gt;=0.75,"HIGH",IF(N86/C86&gt;=0.5,"NORMAL","LOW"))))</f>
        <v/>
      </c>
      <c r="Q86" s="47" t="str">
        <f aca="false">IF(N86="","",IF(N86/C86&gt;=0.9,"Request +"&amp;ROUND(N86-C86*0.85,0)&amp;" vehicles",IF(N86/C86&lt;0.4,"Transfer out "&amp;ROUND(C86*0.5-N86,0),"Hold steady")))</f>
        <v/>
      </c>
    </row>
    <row r="87" customFormat="false" ht="15" hidden="false" customHeight="true" outlineLevel="0" collapsed="false">
      <c r="N87" s="44" t="str">
        <f aca="false">IF(A87="","",ROUND(MAX(0,MIN(C87*1.1,IF(B87="Airport",C87*0.55,IF(B87="Downtown",C87*0.5,IF(B87="Suburban",C87*0.4,IF(B87="College",C87*0.45,C87*0.35))))*(1+0.2*SIN((E87-1)/12*2*PI()-PI()/3))*IF(B87="Airport",CHOOSE(MATCH(D87,{"Monday","Tuesday","Wednesday","Thursday","Friday","Saturday","Sunday"},0),1.05,1.1,1.08,1.12,1.15,0.75,0.7),IF(B87="Downtown",CHOOSE(MATCH(D87,{"Monday","Tuesday","Wednesday","Thursday","Friday","Saturday","Sunday"},0),1,1.05,1.08,1.05,1.1,0.8,0.65),IF(B87="Suburban",CHOOSE(MATCH(D87,{"Monday","Tuesday","Wednesday","Thursday","Friday","Saturday","Sunday"},0),0.8,0.82,0.85,0.88,1.05,1.25,1.2),IF(B87="College",CHOOSE(MATCH(D87,{"Monday","Tuesday","Wednesday","Thursday","Friday","Saturday","Sunday"},0),0.9,0.92,0.95,1,1.15,1.1,0.95),CHOOSE(MATCH(D87,{"Monday","Tuesday","Wednesday","Thursday","Friday","Saturday","Sunday"},0),0.85,0.85,0.88,0.9,1.1,1.2,1.15)))))*IF(F87=1,1.2,1)*IF(G87="Large",2.2,IF(G87="Medium",1.25,IF(G87="Small",1.08,1)))*IF(B87="Airport",1+(IF(H87="Severe",0.6,IF(H87="Snow",0.8,IF(H87="Rain",0.92,1)))-1)*0.3,IF(H87="Severe",0.6,IF(H87="Snow",0.8,IF(H87="Rain",0.92,1))))*(I87*0.4+J87*0.35+K87*0.25)/(IF(B87="Airport",C87*0.55,IF(B87="Downtown",C87*0.5,IF(B87="Suburban",C87*0.4,IF(B87="College",C87*0.45,C87*0.35))))+0.001)*0.3+0.7)),0))</f>
        <v/>
      </c>
      <c r="O87" s="45" t="str">
        <f aca="false">IF(N87="","",ROUND(N87/C87*100,1))</f>
        <v/>
      </c>
      <c r="P87" s="46" t="str">
        <f aca="false">IF(N87="","",IF(N87/C87&gt;=0.9,"SURGE",IF(N87/C87&gt;=0.75,"HIGH",IF(N87/C87&gt;=0.5,"NORMAL","LOW"))))</f>
        <v/>
      </c>
      <c r="Q87" s="47" t="str">
        <f aca="false">IF(N87="","",IF(N87/C87&gt;=0.9,"Request +"&amp;ROUND(N87-C87*0.85,0)&amp;" vehicles",IF(N87/C87&lt;0.4,"Transfer out "&amp;ROUND(C87*0.5-N87,0),"Hold steady")))</f>
        <v/>
      </c>
    </row>
    <row r="88" customFormat="false" ht="15" hidden="false" customHeight="true" outlineLevel="0" collapsed="false">
      <c r="N88" s="44" t="str">
        <f aca="false">IF(A88="","",ROUND(MAX(0,MIN(C88*1.1,IF(B88="Airport",C88*0.55,IF(B88="Downtown",C88*0.5,IF(B88="Suburban",C88*0.4,IF(B88="College",C88*0.45,C88*0.35))))*(1+0.2*SIN((E88-1)/12*2*PI()-PI()/3))*IF(B88="Airport",CHOOSE(MATCH(D88,{"Monday","Tuesday","Wednesday","Thursday","Friday","Saturday","Sunday"},0),1.05,1.1,1.08,1.12,1.15,0.75,0.7),IF(B88="Downtown",CHOOSE(MATCH(D88,{"Monday","Tuesday","Wednesday","Thursday","Friday","Saturday","Sunday"},0),1,1.05,1.08,1.05,1.1,0.8,0.65),IF(B88="Suburban",CHOOSE(MATCH(D88,{"Monday","Tuesday","Wednesday","Thursday","Friday","Saturday","Sunday"},0),0.8,0.82,0.85,0.88,1.05,1.25,1.2),IF(B88="College",CHOOSE(MATCH(D88,{"Monday","Tuesday","Wednesday","Thursday","Friday","Saturday","Sunday"},0),0.9,0.92,0.95,1,1.15,1.1,0.95),CHOOSE(MATCH(D88,{"Monday","Tuesday","Wednesday","Thursday","Friday","Saturday","Sunday"},0),0.85,0.85,0.88,0.9,1.1,1.2,1.15)))))*IF(F88=1,1.2,1)*IF(G88="Large",2.2,IF(G88="Medium",1.25,IF(G88="Small",1.08,1)))*IF(B88="Airport",1+(IF(H88="Severe",0.6,IF(H88="Snow",0.8,IF(H88="Rain",0.92,1)))-1)*0.3,IF(H88="Severe",0.6,IF(H88="Snow",0.8,IF(H88="Rain",0.92,1))))*(I88*0.4+J88*0.35+K88*0.25)/(IF(B88="Airport",C88*0.55,IF(B88="Downtown",C88*0.5,IF(B88="Suburban",C88*0.4,IF(B88="College",C88*0.45,C88*0.35))))+0.001)*0.3+0.7)),0))</f>
        <v/>
      </c>
      <c r="O88" s="45" t="str">
        <f aca="false">IF(N88="","",ROUND(N88/C88*100,1))</f>
        <v/>
      </c>
      <c r="P88" s="46" t="str">
        <f aca="false">IF(N88="","",IF(N88/C88&gt;=0.9,"SURGE",IF(N88/C88&gt;=0.75,"HIGH",IF(N88/C88&gt;=0.5,"NORMAL","LOW"))))</f>
        <v/>
      </c>
      <c r="Q88" s="47" t="str">
        <f aca="false">IF(N88="","",IF(N88/C88&gt;=0.9,"Request +"&amp;ROUND(N88-C88*0.85,0)&amp;" vehicles",IF(N88/C88&lt;0.4,"Transfer out "&amp;ROUND(C88*0.5-N88,0),"Hold steady")))</f>
        <v/>
      </c>
    </row>
    <row r="89" customFormat="false" ht="15" hidden="false" customHeight="true" outlineLevel="0" collapsed="false">
      <c r="N89" s="44" t="str">
        <f aca="false">IF(A89="","",ROUND(MAX(0,MIN(C89*1.1,IF(B89="Airport",C89*0.55,IF(B89="Downtown",C89*0.5,IF(B89="Suburban",C89*0.4,IF(B89="College",C89*0.45,C89*0.35))))*(1+0.2*SIN((E89-1)/12*2*PI()-PI()/3))*IF(B89="Airport",CHOOSE(MATCH(D89,{"Monday","Tuesday","Wednesday","Thursday","Friday","Saturday","Sunday"},0),1.05,1.1,1.08,1.12,1.15,0.75,0.7),IF(B89="Downtown",CHOOSE(MATCH(D89,{"Monday","Tuesday","Wednesday","Thursday","Friday","Saturday","Sunday"},0),1,1.05,1.08,1.05,1.1,0.8,0.65),IF(B89="Suburban",CHOOSE(MATCH(D89,{"Monday","Tuesday","Wednesday","Thursday","Friday","Saturday","Sunday"},0),0.8,0.82,0.85,0.88,1.05,1.25,1.2),IF(B89="College",CHOOSE(MATCH(D89,{"Monday","Tuesday","Wednesday","Thursday","Friday","Saturday","Sunday"},0),0.9,0.92,0.95,1,1.15,1.1,0.95),CHOOSE(MATCH(D89,{"Monday","Tuesday","Wednesday","Thursday","Friday","Saturday","Sunday"},0),0.85,0.85,0.88,0.9,1.1,1.2,1.15)))))*IF(F89=1,1.2,1)*IF(G89="Large",2.2,IF(G89="Medium",1.25,IF(G89="Small",1.08,1)))*IF(B89="Airport",1+(IF(H89="Severe",0.6,IF(H89="Snow",0.8,IF(H89="Rain",0.92,1)))-1)*0.3,IF(H89="Severe",0.6,IF(H89="Snow",0.8,IF(H89="Rain",0.92,1))))*(I89*0.4+J89*0.35+K89*0.25)/(IF(B89="Airport",C89*0.55,IF(B89="Downtown",C89*0.5,IF(B89="Suburban",C89*0.4,IF(B89="College",C89*0.45,C89*0.35))))+0.001)*0.3+0.7)),0))</f>
        <v/>
      </c>
      <c r="O89" s="45" t="str">
        <f aca="false">IF(N89="","",ROUND(N89/C89*100,1))</f>
        <v/>
      </c>
      <c r="P89" s="46" t="str">
        <f aca="false">IF(N89="","",IF(N89/C89&gt;=0.9,"SURGE",IF(N89/C89&gt;=0.75,"HIGH",IF(N89/C89&gt;=0.5,"NORMAL","LOW"))))</f>
        <v/>
      </c>
      <c r="Q89" s="47" t="str">
        <f aca="false">IF(N89="","",IF(N89/C89&gt;=0.9,"Request +"&amp;ROUND(N89-C89*0.85,0)&amp;" vehicles",IF(N89/C89&lt;0.4,"Transfer out "&amp;ROUND(C89*0.5-N89,0),"Hold steady")))</f>
        <v/>
      </c>
    </row>
    <row r="90" customFormat="false" ht="15" hidden="false" customHeight="true" outlineLevel="0" collapsed="false">
      <c r="N90" s="44" t="str">
        <f aca="false">IF(A90="","",ROUND(MAX(0,MIN(C90*1.1,IF(B90="Airport",C90*0.55,IF(B90="Downtown",C90*0.5,IF(B90="Suburban",C90*0.4,IF(B90="College",C90*0.45,C90*0.35))))*(1+0.2*SIN((E90-1)/12*2*PI()-PI()/3))*IF(B90="Airport",CHOOSE(MATCH(D90,{"Monday","Tuesday","Wednesday","Thursday","Friday","Saturday","Sunday"},0),1.05,1.1,1.08,1.12,1.15,0.75,0.7),IF(B90="Downtown",CHOOSE(MATCH(D90,{"Monday","Tuesday","Wednesday","Thursday","Friday","Saturday","Sunday"},0),1,1.05,1.08,1.05,1.1,0.8,0.65),IF(B90="Suburban",CHOOSE(MATCH(D90,{"Monday","Tuesday","Wednesday","Thursday","Friday","Saturday","Sunday"},0),0.8,0.82,0.85,0.88,1.05,1.25,1.2),IF(B90="College",CHOOSE(MATCH(D90,{"Monday","Tuesday","Wednesday","Thursday","Friday","Saturday","Sunday"},0),0.9,0.92,0.95,1,1.15,1.1,0.95),CHOOSE(MATCH(D90,{"Monday","Tuesday","Wednesday","Thursday","Friday","Saturday","Sunday"},0),0.85,0.85,0.88,0.9,1.1,1.2,1.15)))))*IF(F90=1,1.2,1)*IF(G90="Large",2.2,IF(G90="Medium",1.25,IF(G90="Small",1.08,1)))*IF(B90="Airport",1+(IF(H90="Severe",0.6,IF(H90="Snow",0.8,IF(H90="Rain",0.92,1)))-1)*0.3,IF(H90="Severe",0.6,IF(H90="Snow",0.8,IF(H90="Rain",0.92,1))))*(I90*0.4+J90*0.35+K90*0.25)/(IF(B90="Airport",C90*0.55,IF(B90="Downtown",C90*0.5,IF(B90="Suburban",C90*0.4,IF(B90="College",C90*0.45,C90*0.35))))+0.001)*0.3+0.7)),0))</f>
        <v/>
      </c>
      <c r="O90" s="45" t="str">
        <f aca="false">IF(N90="","",ROUND(N90/C90*100,1))</f>
        <v/>
      </c>
      <c r="P90" s="46" t="str">
        <f aca="false">IF(N90="","",IF(N90/C90&gt;=0.9,"SURGE",IF(N90/C90&gt;=0.75,"HIGH",IF(N90/C90&gt;=0.5,"NORMAL","LOW"))))</f>
        <v/>
      </c>
      <c r="Q90" s="47" t="str">
        <f aca="false">IF(N90="","",IF(N90/C90&gt;=0.9,"Request +"&amp;ROUND(N90-C90*0.85,0)&amp;" vehicles",IF(N90/C90&lt;0.4,"Transfer out "&amp;ROUND(C90*0.5-N90,0),"Hold steady")))</f>
        <v/>
      </c>
    </row>
    <row r="91" customFormat="false" ht="15" hidden="false" customHeight="true" outlineLevel="0" collapsed="false">
      <c r="N91" s="44" t="str">
        <f aca="false">IF(A91="","",ROUND(MAX(0,MIN(C91*1.1,IF(B91="Airport",C91*0.55,IF(B91="Downtown",C91*0.5,IF(B91="Suburban",C91*0.4,IF(B91="College",C91*0.45,C91*0.35))))*(1+0.2*SIN((E91-1)/12*2*PI()-PI()/3))*IF(B91="Airport",CHOOSE(MATCH(D91,{"Monday","Tuesday","Wednesday","Thursday","Friday","Saturday","Sunday"},0),1.05,1.1,1.08,1.12,1.15,0.75,0.7),IF(B91="Downtown",CHOOSE(MATCH(D91,{"Monday","Tuesday","Wednesday","Thursday","Friday","Saturday","Sunday"},0),1,1.05,1.08,1.05,1.1,0.8,0.65),IF(B91="Suburban",CHOOSE(MATCH(D91,{"Monday","Tuesday","Wednesday","Thursday","Friday","Saturday","Sunday"},0),0.8,0.82,0.85,0.88,1.05,1.25,1.2),IF(B91="College",CHOOSE(MATCH(D91,{"Monday","Tuesday","Wednesday","Thursday","Friday","Saturday","Sunday"},0),0.9,0.92,0.95,1,1.15,1.1,0.95),CHOOSE(MATCH(D91,{"Monday","Tuesday","Wednesday","Thursday","Friday","Saturday","Sunday"},0),0.85,0.85,0.88,0.9,1.1,1.2,1.15)))))*IF(F91=1,1.2,1)*IF(G91="Large",2.2,IF(G91="Medium",1.25,IF(G91="Small",1.08,1)))*IF(B91="Airport",1+(IF(H91="Severe",0.6,IF(H91="Snow",0.8,IF(H91="Rain",0.92,1)))-1)*0.3,IF(H91="Severe",0.6,IF(H91="Snow",0.8,IF(H91="Rain",0.92,1))))*(I91*0.4+J91*0.35+K91*0.25)/(IF(B91="Airport",C91*0.55,IF(B91="Downtown",C91*0.5,IF(B91="Suburban",C91*0.4,IF(B91="College",C91*0.45,C91*0.35))))+0.001)*0.3+0.7)),0))</f>
        <v/>
      </c>
      <c r="O91" s="45" t="str">
        <f aca="false">IF(N91="","",ROUND(N91/C91*100,1))</f>
        <v/>
      </c>
      <c r="P91" s="46" t="str">
        <f aca="false">IF(N91="","",IF(N91/C91&gt;=0.9,"SURGE",IF(N91/C91&gt;=0.75,"HIGH",IF(N91/C91&gt;=0.5,"NORMAL","LOW"))))</f>
        <v/>
      </c>
      <c r="Q91" s="47" t="str">
        <f aca="false">IF(N91="","",IF(N91/C91&gt;=0.9,"Request +"&amp;ROUND(N91-C91*0.85,0)&amp;" vehicles",IF(N91/C91&lt;0.4,"Transfer out "&amp;ROUND(C91*0.5-N91,0),"Hold steady")))</f>
        <v/>
      </c>
    </row>
    <row r="92" customFormat="false" ht="15" hidden="false" customHeight="true" outlineLevel="0" collapsed="false">
      <c r="N92" s="44" t="str">
        <f aca="false">IF(A92="","",ROUND(MAX(0,MIN(C92*1.1,IF(B92="Airport",C92*0.55,IF(B92="Downtown",C92*0.5,IF(B92="Suburban",C92*0.4,IF(B92="College",C92*0.45,C92*0.35))))*(1+0.2*SIN((E92-1)/12*2*PI()-PI()/3))*IF(B92="Airport",CHOOSE(MATCH(D92,{"Monday","Tuesday","Wednesday","Thursday","Friday","Saturday","Sunday"},0),1.05,1.1,1.08,1.12,1.15,0.75,0.7),IF(B92="Downtown",CHOOSE(MATCH(D92,{"Monday","Tuesday","Wednesday","Thursday","Friday","Saturday","Sunday"},0),1,1.05,1.08,1.05,1.1,0.8,0.65),IF(B92="Suburban",CHOOSE(MATCH(D92,{"Monday","Tuesday","Wednesday","Thursday","Friday","Saturday","Sunday"},0),0.8,0.82,0.85,0.88,1.05,1.25,1.2),IF(B92="College",CHOOSE(MATCH(D92,{"Monday","Tuesday","Wednesday","Thursday","Friday","Saturday","Sunday"},0),0.9,0.92,0.95,1,1.15,1.1,0.95),CHOOSE(MATCH(D92,{"Monday","Tuesday","Wednesday","Thursday","Friday","Saturday","Sunday"},0),0.85,0.85,0.88,0.9,1.1,1.2,1.15)))))*IF(F92=1,1.2,1)*IF(G92="Large",2.2,IF(G92="Medium",1.25,IF(G92="Small",1.08,1)))*IF(B92="Airport",1+(IF(H92="Severe",0.6,IF(H92="Snow",0.8,IF(H92="Rain",0.92,1)))-1)*0.3,IF(H92="Severe",0.6,IF(H92="Snow",0.8,IF(H92="Rain",0.92,1))))*(I92*0.4+J92*0.35+K92*0.25)/(IF(B92="Airport",C92*0.55,IF(B92="Downtown",C92*0.5,IF(B92="Suburban",C92*0.4,IF(B92="College",C92*0.45,C92*0.35))))+0.001)*0.3+0.7)),0))</f>
        <v/>
      </c>
      <c r="O92" s="45" t="str">
        <f aca="false">IF(N92="","",ROUND(N92/C92*100,1))</f>
        <v/>
      </c>
      <c r="P92" s="46" t="str">
        <f aca="false">IF(N92="","",IF(N92/C92&gt;=0.9,"SURGE",IF(N92/C92&gt;=0.75,"HIGH",IF(N92/C92&gt;=0.5,"NORMAL","LOW"))))</f>
        <v/>
      </c>
      <c r="Q92" s="47" t="str">
        <f aca="false">IF(N92="","",IF(N92/C92&gt;=0.9,"Request +"&amp;ROUND(N92-C92*0.85,0)&amp;" vehicles",IF(N92/C92&lt;0.4,"Transfer out "&amp;ROUND(C92*0.5-N92,0),"Hold steady")))</f>
        <v/>
      </c>
    </row>
    <row r="93" customFormat="false" ht="15" hidden="false" customHeight="true" outlineLevel="0" collapsed="false">
      <c r="N93" s="44" t="str">
        <f aca="false">IF(A93="","",ROUND(MAX(0,MIN(C93*1.1,IF(B93="Airport",C93*0.55,IF(B93="Downtown",C93*0.5,IF(B93="Suburban",C93*0.4,IF(B93="College",C93*0.45,C93*0.35))))*(1+0.2*SIN((E93-1)/12*2*PI()-PI()/3))*IF(B93="Airport",CHOOSE(MATCH(D93,{"Monday","Tuesday","Wednesday","Thursday","Friday","Saturday","Sunday"},0),1.05,1.1,1.08,1.12,1.15,0.75,0.7),IF(B93="Downtown",CHOOSE(MATCH(D93,{"Monday","Tuesday","Wednesday","Thursday","Friday","Saturday","Sunday"},0),1,1.05,1.08,1.05,1.1,0.8,0.65),IF(B93="Suburban",CHOOSE(MATCH(D93,{"Monday","Tuesday","Wednesday","Thursday","Friday","Saturday","Sunday"},0),0.8,0.82,0.85,0.88,1.05,1.25,1.2),IF(B93="College",CHOOSE(MATCH(D93,{"Monday","Tuesday","Wednesday","Thursday","Friday","Saturday","Sunday"},0),0.9,0.92,0.95,1,1.15,1.1,0.95),CHOOSE(MATCH(D93,{"Monday","Tuesday","Wednesday","Thursday","Friday","Saturday","Sunday"},0),0.85,0.85,0.88,0.9,1.1,1.2,1.15)))))*IF(F93=1,1.2,1)*IF(G93="Large",2.2,IF(G93="Medium",1.25,IF(G93="Small",1.08,1)))*IF(B93="Airport",1+(IF(H93="Severe",0.6,IF(H93="Snow",0.8,IF(H93="Rain",0.92,1)))-1)*0.3,IF(H93="Severe",0.6,IF(H93="Snow",0.8,IF(H93="Rain",0.92,1))))*(I93*0.4+J93*0.35+K93*0.25)/(IF(B93="Airport",C93*0.55,IF(B93="Downtown",C93*0.5,IF(B93="Suburban",C93*0.4,IF(B93="College",C93*0.45,C93*0.35))))+0.001)*0.3+0.7)),0))</f>
        <v/>
      </c>
      <c r="O93" s="45" t="str">
        <f aca="false">IF(N93="","",ROUND(N93/C93*100,1))</f>
        <v/>
      </c>
      <c r="P93" s="46" t="str">
        <f aca="false">IF(N93="","",IF(N93/C93&gt;=0.9,"SURGE",IF(N93/C93&gt;=0.75,"HIGH",IF(N93/C93&gt;=0.5,"NORMAL","LOW"))))</f>
        <v/>
      </c>
      <c r="Q93" s="47" t="str">
        <f aca="false">IF(N93="","",IF(N93/C93&gt;=0.9,"Request +"&amp;ROUND(N93-C93*0.85,0)&amp;" vehicles",IF(N93/C93&lt;0.4,"Transfer out "&amp;ROUND(C93*0.5-N93,0),"Hold steady")))</f>
        <v/>
      </c>
    </row>
    <row r="94" customFormat="false" ht="15" hidden="false" customHeight="true" outlineLevel="0" collapsed="false">
      <c r="N94" s="44" t="str">
        <f aca="false">IF(A94="","",ROUND(MAX(0,MIN(C94*1.1,IF(B94="Airport",C94*0.55,IF(B94="Downtown",C94*0.5,IF(B94="Suburban",C94*0.4,IF(B94="College",C94*0.45,C94*0.35))))*(1+0.2*SIN((E94-1)/12*2*PI()-PI()/3))*IF(B94="Airport",CHOOSE(MATCH(D94,{"Monday","Tuesday","Wednesday","Thursday","Friday","Saturday","Sunday"},0),1.05,1.1,1.08,1.12,1.15,0.75,0.7),IF(B94="Downtown",CHOOSE(MATCH(D94,{"Monday","Tuesday","Wednesday","Thursday","Friday","Saturday","Sunday"},0),1,1.05,1.08,1.05,1.1,0.8,0.65),IF(B94="Suburban",CHOOSE(MATCH(D94,{"Monday","Tuesday","Wednesday","Thursday","Friday","Saturday","Sunday"},0),0.8,0.82,0.85,0.88,1.05,1.25,1.2),IF(B94="College",CHOOSE(MATCH(D94,{"Monday","Tuesday","Wednesday","Thursday","Friday","Saturday","Sunday"},0),0.9,0.92,0.95,1,1.15,1.1,0.95),CHOOSE(MATCH(D94,{"Monday","Tuesday","Wednesday","Thursday","Friday","Saturday","Sunday"},0),0.85,0.85,0.88,0.9,1.1,1.2,1.15)))))*IF(F94=1,1.2,1)*IF(G94="Large",2.2,IF(G94="Medium",1.25,IF(G94="Small",1.08,1)))*IF(B94="Airport",1+(IF(H94="Severe",0.6,IF(H94="Snow",0.8,IF(H94="Rain",0.92,1)))-1)*0.3,IF(H94="Severe",0.6,IF(H94="Snow",0.8,IF(H94="Rain",0.92,1))))*(I94*0.4+J94*0.35+K94*0.25)/(IF(B94="Airport",C94*0.55,IF(B94="Downtown",C94*0.5,IF(B94="Suburban",C94*0.4,IF(B94="College",C94*0.45,C94*0.35))))+0.001)*0.3+0.7)),0))</f>
        <v/>
      </c>
      <c r="O94" s="45" t="str">
        <f aca="false">IF(N94="","",ROUND(N94/C94*100,1))</f>
        <v/>
      </c>
      <c r="P94" s="46" t="str">
        <f aca="false">IF(N94="","",IF(N94/C94&gt;=0.9,"SURGE",IF(N94/C94&gt;=0.75,"HIGH",IF(N94/C94&gt;=0.5,"NORMAL","LOW"))))</f>
        <v/>
      </c>
      <c r="Q94" s="47" t="str">
        <f aca="false">IF(N94="","",IF(N94/C94&gt;=0.9,"Request +"&amp;ROUND(N94-C94*0.85,0)&amp;" vehicles",IF(N94/C94&lt;0.4,"Transfer out "&amp;ROUND(C94*0.5-N94,0),"Hold steady")))</f>
        <v/>
      </c>
    </row>
    <row r="95" customFormat="false" ht="15" hidden="false" customHeight="true" outlineLevel="0" collapsed="false">
      <c r="N95" s="44" t="str">
        <f aca="false">IF(A95="","",ROUND(MAX(0,MIN(C95*1.1,IF(B95="Airport",C95*0.55,IF(B95="Downtown",C95*0.5,IF(B95="Suburban",C95*0.4,IF(B95="College",C95*0.45,C95*0.35))))*(1+0.2*SIN((E95-1)/12*2*PI()-PI()/3))*IF(B95="Airport",CHOOSE(MATCH(D95,{"Monday","Tuesday","Wednesday","Thursday","Friday","Saturday","Sunday"},0),1.05,1.1,1.08,1.12,1.15,0.75,0.7),IF(B95="Downtown",CHOOSE(MATCH(D95,{"Monday","Tuesday","Wednesday","Thursday","Friday","Saturday","Sunday"},0),1,1.05,1.08,1.05,1.1,0.8,0.65),IF(B95="Suburban",CHOOSE(MATCH(D95,{"Monday","Tuesday","Wednesday","Thursday","Friday","Saturday","Sunday"},0),0.8,0.82,0.85,0.88,1.05,1.25,1.2),IF(B95="College",CHOOSE(MATCH(D95,{"Monday","Tuesday","Wednesday","Thursday","Friday","Saturday","Sunday"},0),0.9,0.92,0.95,1,1.15,1.1,0.95),CHOOSE(MATCH(D95,{"Monday","Tuesday","Wednesday","Thursday","Friday","Saturday","Sunday"},0),0.85,0.85,0.88,0.9,1.1,1.2,1.15)))))*IF(F95=1,1.2,1)*IF(G95="Large",2.2,IF(G95="Medium",1.25,IF(G95="Small",1.08,1)))*IF(B95="Airport",1+(IF(H95="Severe",0.6,IF(H95="Snow",0.8,IF(H95="Rain",0.92,1)))-1)*0.3,IF(H95="Severe",0.6,IF(H95="Snow",0.8,IF(H95="Rain",0.92,1))))*(I95*0.4+J95*0.35+K95*0.25)/(IF(B95="Airport",C95*0.55,IF(B95="Downtown",C95*0.5,IF(B95="Suburban",C95*0.4,IF(B95="College",C95*0.45,C95*0.35))))+0.001)*0.3+0.7)),0))</f>
        <v/>
      </c>
      <c r="O95" s="45" t="str">
        <f aca="false">IF(N95="","",ROUND(N95/C95*100,1))</f>
        <v/>
      </c>
      <c r="P95" s="46" t="str">
        <f aca="false">IF(N95="","",IF(N95/C95&gt;=0.9,"SURGE",IF(N95/C95&gt;=0.75,"HIGH",IF(N95/C95&gt;=0.5,"NORMAL","LOW"))))</f>
        <v/>
      </c>
      <c r="Q95" s="47" t="str">
        <f aca="false">IF(N95="","",IF(N95/C95&gt;=0.9,"Request +"&amp;ROUND(N95-C95*0.85,0)&amp;" vehicles",IF(N95/C95&lt;0.4,"Transfer out "&amp;ROUND(C95*0.5-N95,0),"Hold steady")))</f>
        <v/>
      </c>
    </row>
    <row r="96" customFormat="false" ht="15" hidden="false" customHeight="true" outlineLevel="0" collapsed="false">
      <c r="N96" s="44" t="str">
        <f aca="false">IF(A96="","",ROUND(MAX(0,MIN(C96*1.1,IF(B96="Airport",C96*0.55,IF(B96="Downtown",C96*0.5,IF(B96="Suburban",C96*0.4,IF(B96="College",C96*0.45,C96*0.35))))*(1+0.2*SIN((E96-1)/12*2*PI()-PI()/3))*IF(B96="Airport",CHOOSE(MATCH(D96,{"Monday","Tuesday","Wednesday","Thursday","Friday","Saturday","Sunday"},0),1.05,1.1,1.08,1.12,1.15,0.75,0.7),IF(B96="Downtown",CHOOSE(MATCH(D96,{"Monday","Tuesday","Wednesday","Thursday","Friday","Saturday","Sunday"},0),1,1.05,1.08,1.05,1.1,0.8,0.65),IF(B96="Suburban",CHOOSE(MATCH(D96,{"Monday","Tuesday","Wednesday","Thursday","Friday","Saturday","Sunday"},0),0.8,0.82,0.85,0.88,1.05,1.25,1.2),IF(B96="College",CHOOSE(MATCH(D96,{"Monday","Tuesday","Wednesday","Thursday","Friday","Saturday","Sunday"},0),0.9,0.92,0.95,1,1.15,1.1,0.95),CHOOSE(MATCH(D96,{"Monday","Tuesday","Wednesday","Thursday","Friday","Saturday","Sunday"},0),0.85,0.85,0.88,0.9,1.1,1.2,1.15)))))*IF(F96=1,1.2,1)*IF(G96="Large",2.2,IF(G96="Medium",1.25,IF(G96="Small",1.08,1)))*IF(B96="Airport",1+(IF(H96="Severe",0.6,IF(H96="Snow",0.8,IF(H96="Rain",0.92,1)))-1)*0.3,IF(H96="Severe",0.6,IF(H96="Snow",0.8,IF(H96="Rain",0.92,1))))*(I96*0.4+J96*0.35+K96*0.25)/(IF(B96="Airport",C96*0.55,IF(B96="Downtown",C96*0.5,IF(B96="Suburban",C96*0.4,IF(B96="College",C96*0.45,C96*0.35))))+0.001)*0.3+0.7)),0))</f>
        <v/>
      </c>
      <c r="O96" s="45" t="str">
        <f aca="false">IF(N96="","",ROUND(N96/C96*100,1))</f>
        <v/>
      </c>
      <c r="P96" s="46" t="str">
        <f aca="false">IF(N96="","",IF(N96/C96&gt;=0.9,"SURGE",IF(N96/C96&gt;=0.75,"HIGH",IF(N96/C96&gt;=0.5,"NORMAL","LOW"))))</f>
        <v/>
      </c>
      <c r="Q96" s="47" t="str">
        <f aca="false">IF(N96="","",IF(N96/C96&gt;=0.9,"Request +"&amp;ROUND(N96-C96*0.85,0)&amp;" vehicles",IF(N96/C96&lt;0.4,"Transfer out "&amp;ROUND(C96*0.5-N96,0),"Hold steady")))</f>
        <v/>
      </c>
    </row>
    <row r="97" customFormat="false" ht="15" hidden="false" customHeight="true" outlineLevel="0" collapsed="false">
      <c r="N97" s="44" t="str">
        <f aca="false">IF(A97="","",ROUND(MAX(0,MIN(C97*1.1,IF(B97="Airport",C97*0.55,IF(B97="Downtown",C97*0.5,IF(B97="Suburban",C97*0.4,IF(B97="College",C97*0.45,C97*0.35))))*(1+0.2*SIN((E97-1)/12*2*PI()-PI()/3))*IF(B97="Airport",CHOOSE(MATCH(D97,{"Monday","Tuesday","Wednesday","Thursday","Friday","Saturday","Sunday"},0),1.05,1.1,1.08,1.12,1.15,0.75,0.7),IF(B97="Downtown",CHOOSE(MATCH(D97,{"Monday","Tuesday","Wednesday","Thursday","Friday","Saturday","Sunday"},0),1,1.05,1.08,1.05,1.1,0.8,0.65),IF(B97="Suburban",CHOOSE(MATCH(D97,{"Monday","Tuesday","Wednesday","Thursday","Friday","Saturday","Sunday"},0),0.8,0.82,0.85,0.88,1.05,1.25,1.2),IF(B97="College",CHOOSE(MATCH(D97,{"Monday","Tuesday","Wednesday","Thursday","Friday","Saturday","Sunday"},0),0.9,0.92,0.95,1,1.15,1.1,0.95),CHOOSE(MATCH(D97,{"Monday","Tuesday","Wednesday","Thursday","Friday","Saturday","Sunday"},0),0.85,0.85,0.88,0.9,1.1,1.2,1.15)))))*IF(F97=1,1.2,1)*IF(G97="Large",2.2,IF(G97="Medium",1.25,IF(G97="Small",1.08,1)))*IF(B97="Airport",1+(IF(H97="Severe",0.6,IF(H97="Snow",0.8,IF(H97="Rain",0.92,1)))-1)*0.3,IF(H97="Severe",0.6,IF(H97="Snow",0.8,IF(H97="Rain",0.92,1))))*(I97*0.4+J97*0.35+K97*0.25)/(IF(B97="Airport",C97*0.55,IF(B97="Downtown",C97*0.5,IF(B97="Suburban",C97*0.4,IF(B97="College",C97*0.45,C97*0.35))))+0.001)*0.3+0.7)),0))</f>
        <v/>
      </c>
      <c r="O97" s="45" t="str">
        <f aca="false">IF(N97="","",ROUND(N97/C97*100,1))</f>
        <v/>
      </c>
      <c r="P97" s="46" t="str">
        <f aca="false">IF(N97="","",IF(N97/C97&gt;=0.9,"SURGE",IF(N97/C97&gt;=0.75,"HIGH",IF(N97/C97&gt;=0.5,"NORMAL","LOW"))))</f>
        <v/>
      </c>
      <c r="Q97" s="47" t="str">
        <f aca="false">IF(N97="","",IF(N97/C97&gt;=0.9,"Request +"&amp;ROUND(N97-C97*0.85,0)&amp;" vehicles",IF(N97/C97&lt;0.4,"Transfer out "&amp;ROUND(C97*0.5-N97,0),"Hold steady")))</f>
        <v/>
      </c>
    </row>
    <row r="98" customFormat="false" ht="15" hidden="false" customHeight="true" outlineLevel="0" collapsed="false">
      <c r="N98" s="44" t="str">
        <f aca="false">IF(A98="","",ROUND(MAX(0,MIN(C98*1.1,IF(B98="Airport",C98*0.55,IF(B98="Downtown",C98*0.5,IF(B98="Suburban",C98*0.4,IF(B98="College",C98*0.45,C98*0.35))))*(1+0.2*SIN((E98-1)/12*2*PI()-PI()/3))*IF(B98="Airport",CHOOSE(MATCH(D98,{"Monday","Tuesday","Wednesday","Thursday","Friday","Saturday","Sunday"},0),1.05,1.1,1.08,1.12,1.15,0.75,0.7),IF(B98="Downtown",CHOOSE(MATCH(D98,{"Monday","Tuesday","Wednesday","Thursday","Friday","Saturday","Sunday"},0),1,1.05,1.08,1.05,1.1,0.8,0.65),IF(B98="Suburban",CHOOSE(MATCH(D98,{"Monday","Tuesday","Wednesday","Thursday","Friday","Saturday","Sunday"},0),0.8,0.82,0.85,0.88,1.05,1.25,1.2),IF(B98="College",CHOOSE(MATCH(D98,{"Monday","Tuesday","Wednesday","Thursday","Friday","Saturday","Sunday"},0),0.9,0.92,0.95,1,1.15,1.1,0.95),CHOOSE(MATCH(D98,{"Monday","Tuesday","Wednesday","Thursday","Friday","Saturday","Sunday"},0),0.85,0.85,0.88,0.9,1.1,1.2,1.15)))))*IF(F98=1,1.2,1)*IF(G98="Large",2.2,IF(G98="Medium",1.25,IF(G98="Small",1.08,1)))*IF(B98="Airport",1+(IF(H98="Severe",0.6,IF(H98="Snow",0.8,IF(H98="Rain",0.92,1)))-1)*0.3,IF(H98="Severe",0.6,IF(H98="Snow",0.8,IF(H98="Rain",0.92,1))))*(I98*0.4+J98*0.35+K98*0.25)/(IF(B98="Airport",C98*0.55,IF(B98="Downtown",C98*0.5,IF(B98="Suburban",C98*0.4,IF(B98="College",C98*0.45,C98*0.35))))+0.001)*0.3+0.7)),0))</f>
        <v/>
      </c>
      <c r="O98" s="45" t="str">
        <f aca="false">IF(N98="","",ROUND(N98/C98*100,1))</f>
        <v/>
      </c>
      <c r="P98" s="46" t="str">
        <f aca="false">IF(N98="","",IF(N98/C98&gt;=0.9,"SURGE",IF(N98/C98&gt;=0.75,"HIGH",IF(N98/C98&gt;=0.5,"NORMAL","LOW"))))</f>
        <v/>
      </c>
      <c r="Q98" s="47" t="str">
        <f aca="false">IF(N98="","",IF(N98/C98&gt;=0.9,"Request +"&amp;ROUND(N98-C98*0.85,0)&amp;" vehicles",IF(N98/C98&lt;0.4,"Transfer out "&amp;ROUND(C98*0.5-N98,0),"Hold steady")))</f>
        <v/>
      </c>
    </row>
    <row r="99" customFormat="false" ht="15" hidden="false" customHeight="true" outlineLevel="0" collapsed="false">
      <c r="N99" s="44" t="str">
        <f aca="false">IF(A99="","",ROUND(MAX(0,MIN(C99*1.1,IF(B99="Airport",C99*0.55,IF(B99="Downtown",C99*0.5,IF(B99="Suburban",C99*0.4,IF(B99="College",C99*0.45,C99*0.35))))*(1+0.2*SIN((E99-1)/12*2*PI()-PI()/3))*IF(B99="Airport",CHOOSE(MATCH(D99,{"Monday","Tuesday","Wednesday","Thursday","Friday","Saturday","Sunday"},0),1.05,1.1,1.08,1.12,1.15,0.75,0.7),IF(B99="Downtown",CHOOSE(MATCH(D99,{"Monday","Tuesday","Wednesday","Thursday","Friday","Saturday","Sunday"},0),1,1.05,1.08,1.05,1.1,0.8,0.65),IF(B99="Suburban",CHOOSE(MATCH(D99,{"Monday","Tuesday","Wednesday","Thursday","Friday","Saturday","Sunday"},0),0.8,0.82,0.85,0.88,1.05,1.25,1.2),IF(B99="College",CHOOSE(MATCH(D99,{"Monday","Tuesday","Wednesday","Thursday","Friday","Saturday","Sunday"},0),0.9,0.92,0.95,1,1.15,1.1,0.95),CHOOSE(MATCH(D99,{"Monday","Tuesday","Wednesday","Thursday","Friday","Saturday","Sunday"},0),0.85,0.85,0.88,0.9,1.1,1.2,1.15)))))*IF(F99=1,1.2,1)*IF(G99="Large",2.2,IF(G99="Medium",1.25,IF(G99="Small",1.08,1)))*IF(B99="Airport",1+(IF(H99="Severe",0.6,IF(H99="Snow",0.8,IF(H99="Rain",0.92,1)))-1)*0.3,IF(H99="Severe",0.6,IF(H99="Snow",0.8,IF(H99="Rain",0.92,1))))*(I99*0.4+J99*0.35+K99*0.25)/(IF(B99="Airport",C99*0.55,IF(B99="Downtown",C99*0.5,IF(B99="Suburban",C99*0.4,IF(B99="College",C99*0.45,C99*0.35))))+0.001)*0.3+0.7)),0))</f>
        <v/>
      </c>
      <c r="O99" s="45" t="str">
        <f aca="false">IF(N99="","",ROUND(N99/C99*100,1))</f>
        <v/>
      </c>
      <c r="P99" s="46" t="str">
        <f aca="false">IF(N99="","",IF(N99/C99&gt;=0.9,"SURGE",IF(N99/C99&gt;=0.75,"HIGH",IF(N99/C99&gt;=0.5,"NORMAL","LOW"))))</f>
        <v/>
      </c>
      <c r="Q99" s="47" t="str">
        <f aca="false">IF(N99="","",IF(N99/C99&gt;=0.9,"Request +"&amp;ROUND(N99-C99*0.85,0)&amp;" vehicles",IF(N99/C99&lt;0.4,"Transfer out "&amp;ROUND(C99*0.5-N99,0),"Hold steady")))</f>
        <v/>
      </c>
    </row>
    <row r="100" customFormat="false" ht="15" hidden="false" customHeight="true" outlineLevel="0" collapsed="false">
      <c r="N100" s="44" t="str">
        <f aca="false">IF(A100="","",ROUND(MAX(0,MIN(C100*1.1,IF(B100="Airport",C100*0.55,IF(B100="Downtown",C100*0.5,IF(B100="Suburban",C100*0.4,IF(B100="College",C100*0.45,C100*0.35))))*(1+0.2*SIN((E100-1)/12*2*PI()-PI()/3))*IF(B100="Airport",CHOOSE(MATCH(D100,{"Monday","Tuesday","Wednesday","Thursday","Friday","Saturday","Sunday"},0),1.05,1.1,1.08,1.12,1.15,0.75,0.7),IF(B100="Downtown",CHOOSE(MATCH(D100,{"Monday","Tuesday","Wednesday","Thursday","Friday","Saturday","Sunday"},0),1,1.05,1.08,1.05,1.1,0.8,0.65),IF(B100="Suburban",CHOOSE(MATCH(D100,{"Monday","Tuesday","Wednesday","Thursday","Friday","Saturday","Sunday"},0),0.8,0.82,0.85,0.88,1.05,1.25,1.2),IF(B100="College",CHOOSE(MATCH(D100,{"Monday","Tuesday","Wednesday","Thursday","Friday","Saturday","Sunday"},0),0.9,0.92,0.95,1,1.15,1.1,0.95),CHOOSE(MATCH(D100,{"Monday","Tuesday","Wednesday","Thursday","Friday","Saturday","Sunday"},0),0.85,0.85,0.88,0.9,1.1,1.2,1.15)))))*IF(F100=1,1.2,1)*IF(G100="Large",2.2,IF(G100="Medium",1.25,IF(G100="Small",1.08,1)))*IF(B100="Airport",1+(IF(H100="Severe",0.6,IF(H100="Snow",0.8,IF(H100="Rain",0.92,1)))-1)*0.3,IF(H100="Severe",0.6,IF(H100="Snow",0.8,IF(H100="Rain",0.92,1))))*(I100*0.4+J100*0.35+K100*0.25)/(IF(B100="Airport",C100*0.55,IF(B100="Downtown",C100*0.5,IF(B100="Suburban",C100*0.4,IF(B100="College",C100*0.45,C100*0.35))))+0.001)*0.3+0.7)),0))</f>
        <v/>
      </c>
      <c r="O100" s="45" t="str">
        <f aca="false">IF(N100="","",ROUND(N100/C100*100,1))</f>
        <v/>
      </c>
      <c r="P100" s="46" t="str">
        <f aca="false">IF(N100="","",IF(N100/C100&gt;=0.9,"SURGE",IF(N100/C100&gt;=0.75,"HIGH",IF(N100/C100&gt;=0.5,"NORMAL","LOW"))))</f>
        <v/>
      </c>
      <c r="Q100" s="47" t="str">
        <f aca="false">IF(N100="","",IF(N100/C100&gt;=0.9,"Request +"&amp;ROUND(N100-C100*0.85,0)&amp;" vehicles",IF(N100/C100&lt;0.4,"Transfer out "&amp;ROUND(C100*0.5-N100,0),"Hold steady")))</f>
        <v/>
      </c>
    </row>
    <row r="101" customFormat="false" ht="15" hidden="false" customHeight="true" outlineLevel="0" collapsed="false">
      <c r="N101" s="44" t="str">
        <f aca="false">IF(A101="","",ROUND(MAX(0,MIN(C101*1.1,IF(B101="Airport",C101*0.55,IF(B101="Downtown",C101*0.5,IF(B101="Suburban",C101*0.4,IF(B101="College",C101*0.45,C101*0.35))))*(1+0.2*SIN((E101-1)/12*2*PI()-PI()/3))*IF(B101="Airport",CHOOSE(MATCH(D101,{"Monday","Tuesday","Wednesday","Thursday","Friday","Saturday","Sunday"},0),1.05,1.1,1.08,1.12,1.15,0.75,0.7),IF(B101="Downtown",CHOOSE(MATCH(D101,{"Monday","Tuesday","Wednesday","Thursday","Friday","Saturday","Sunday"},0),1,1.05,1.08,1.05,1.1,0.8,0.65),IF(B101="Suburban",CHOOSE(MATCH(D101,{"Monday","Tuesday","Wednesday","Thursday","Friday","Saturday","Sunday"},0),0.8,0.82,0.85,0.88,1.05,1.25,1.2),IF(B101="College",CHOOSE(MATCH(D101,{"Monday","Tuesday","Wednesday","Thursday","Friday","Saturday","Sunday"},0),0.9,0.92,0.95,1,1.15,1.1,0.95),CHOOSE(MATCH(D101,{"Monday","Tuesday","Wednesday","Thursday","Friday","Saturday","Sunday"},0),0.85,0.85,0.88,0.9,1.1,1.2,1.15)))))*IF(F101=1,1.2,1)*IF(G101="Large",2.2,IF(G101="Medium",1.25,IF(G101="Small",1.08,1)))*IF(B101="Airport",1+(IF(H101="Severe",0.6,IF(H101="Snow",0.8,IF(H101="Rain",0.92,1)))-1)*0.3,IF(H101="Severe",0.6,IF(H101="Snow",0.8,IF(H101="Rain",0.92,1))))*(I101*0.4+J101*0.35+K101*0.25)/(IF(B101="Airport",C101*0.55,IF(B101="Downtown",C101*0.5,IF(B101="Suburban",C101*0.4,IF(B101="College",C101*0.45,C101*0.35))))+0.001)*0.3+0.7)),0))</f>
        <v/>
      </c>
      <c r="O101" s="45" t="str">
        <f aca="false">IF(N101="","",ROUND(N101/C101*100,1))</f>
        <v/>
      </c>
      <c r="P101" s="46" t="str">
        <f aca="false">IF(N101="","",IF(N101/C101&gt;=0.9,"SURGE",IF(N101/C101&gt;=0.75,"HIGH",IF(N101/C101&gt;=0.5,"NORMAL","LOW"))))</f>
        <v/>
      </c>
      <c r="Q101" s="47" t="str">
        <f aca="false">IF(N101="","",IF(N101/C101&gt;=0.9,"Request +"&amp;ROUND(N101-C101*0.85,0)&amp;" vehicles",IF(N101/C101&lt;0.4,"Transfer out "&amp;ROUND(C101*0.5-N101,0),"Hold steady")))</f>
        <v/>
      </c>
    </row>
    <row r="102" customFormat="false" ht="15" hidden="false" customHeight="true" outlineLevel="0" collapsed="false">
      <c r="N102" s="44" t="str">
        <f aca="false">IF(A102="","",ROUND(MAX(0,MIN(C102*1.1,IF(B102="Airport",C102*0.55,IF(B102="Downtown",C102*0.5,IF(B102="Suburban",C102*0.4,IF(B102="College",C102*0.45,C102*0.35))))*(1+0.2*SIN((E102-1)/12*2*PI()-PI()/3))*IF(B102="Airport",CHOOSE(MATCH(D102,{"Monday","Tuesday","Wednesday","Thursday","Friday","Saturday","Sunday"},0),1.05,1.1,1.08,1.12,1.15,0.75,0.7),IF(B102="Downtown",CHOOSE(MATCH(D102,{"Monday","Tuesday","Wednesday","Thursday","Friday","Saturday","Sunday"},0),1,1.05,1.08,1.05,1.1,0.8,0.65),IF(B102="Suburban",CHOOSE(MATCH(D102,{"Monday","Tuesday","Wednesday","Thursday","Friday","Saturday","Sunday"},0),0.8,0.82,0.85,0.88,1.05,1.25,1.2),IF(B102="College",CHOOSE(MATCH(D102,{"Monday","Tuesday","Wednesday","Thursday","Friday","Saturday","Sunday"},0),0.9,0.92,0.95,1,1.15,1.1,0.95),CHOOSE(MATCH(D102,{"Monday","Tuesday","Wednesday","Thursday","Friday","Saturday","Sunday"},0),0.85,0.85,0.88,0.9,1.1,1.2,1.15)))))*IF(F102=1,1.2,1)*IF(G102="Large",2.2,IF(G102="Medium",1.25,IF(G102="Small",1.08,1)))*IF(B102="Airport",1+(IF(H102="Severe",0.6,IF(H102="Snow",0.8,IF(H102="Rain",0.92,1)))-1)*0.3,IF(H102="Severe",0.6,IF(H102="Snow",0.8,IF(H102="Rain",0.92,1))))*(I102*0.4+J102*0.35+K102*0.25)/(IF(B102="Airport",C102*0.55,IF(B102="Downtown",C102*0.5,IF(B102="Suburban",C102*0.4,IF(B102="College",C102*0.45,C102*0.35))))+0.001)*0.3+0.7)),0))</f>
        <v/>
      </c>
      <c r="O102" s="45" t="str">
        <f aca="false">IF(N102="","",ROUND(N102/C102*100,1))</f>
        <v/>
      </c>
      <c r="P102" s="46" t="str">
        <f aca="false">IF(N102="","",IF(N102/C102&gt;=0.9,"SURGE",IF(N102/C102&gt;=0.75,"HIGH",IF(N102/C102&gt;=0.5,"NORMAL","LOW"))))</f>
        <v/>
      </c>
      <c r="Q102" s="47" t="str">
        <f aca="false">IF(N102="","",IF(N102/C102&gt;=0.9,"Request +"&amp;ROUND(N102-C102*0.85,0)&amp;" vehicles",IF(N102/C102&lt;0.4,"Transfer out "&amp;ROUND(C102*0.5-N102,0),"Hold steady")))</f>
        <v/>
      </c>
    </row>
  </sheetData>
  <mergeCells count="1">
    <mergeCell ref="A1:Q1"/>
  </mergeCells>
  <conditionalFormatting sqref="P3:P102">
    <cfRule type="expression" priority="2" aboveAverage="0" equalAverage="0" bottom="0" percent="0" rank="0" text="" dxfId="0">
      <formula>P3="SURGE"</formula>
    </cfRule>
    <cfRule type="expression" priority="3" aboveAverage="0" equalAverage="0" bottom="0" percent="0" rank="0" text="" dxfId="1">
      <formula>P3="HIGH"</formula>
    </cfRule>
    <cfRule type="expression" priority="4" aboveAverage="0" equalAverage="0" bottom="0" percent="0" rank="0" text="" dxfId="2">
      <formula>P3="NORMAL"</formula>
    </cfRule>
    <cfRule type="expression" priority="5" aboveAverage="0" equalAverage="0" bottom="0" percent="0" rank="0" text="" dxfId="3">
      <formula>P3="LOW"</formula>
    </cfRule>
  </conditionalFormatting>
  <conditionalFormatting sqref="N3:N102">
    <cfRule type="dataBar" priority="6">
      <dataBar showValue="1" minLength="10" maxLength="90">
        <cfvo type="num" val="0"/>
        <cfvo type="num" val="200"/>
        <color rgb="FF2A7B88"/>
      </dataBar>
      <extLst>
        <ext xmlns:x14="http://schemas.microsoft.com/office/spreadsheetml/2009/9/main" uri="{B025F937-C7B1-47D3-B67F-A62EFF666E3E}">
          <x14:id>{AFDC59C6-AE97-42DA-B348-4C1889EE4144}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FDC59C6-AE97-42DA-B348-4C1889EE4144}">
            <x14:dataBar minLength="10" maxLength="90" axisPosition="none" gradient="true">
              <x14:cfvo type="num">
                <xm:f>0</xm:f>
              </x14:cfvo>
              <x14:cfvo type="num">
                <xm:f>200</xm:f>
              </x14:cfvo>
              <x14:negativeFillColor rgb="FF2A7B88"/>
              <x14:axisColor rgb="FF000000"/>
            </x14:dataBar>
          </x14:cfRule>
          <xm:sqref>N3:N102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9999"/>
    <pageSetUpPr fitToPage="false"/>
  </sheetPr>
  <dimension ref="B1:C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30"/>
    <col collapsed="false" customWidth="true" hidden="false" outlineLevel="0" max="3" min="3" style="1" width="60"/>
  </cols>
  <sheetData>
    <row r="1" customFormat="false" ht="21.75" hidden="false" customHeight="true" outlineLevel="0" collapsed="false">
      <c r="B1" s="2" t="s">
        <v>104</v>
      </c>
      <c r="C1" s="2"/>
    </row>
    <row r="3" customFormat="false" ht="15" hidden="false" customHeight="true" outlineLevel="0" collapsed="false">
      <c r="B3" s="11" t="s">
        <v>105</v>
      </c>
      <c r="C3" s="16" t="s">
        <v>106</v>
      </c>
    </row>
    <row r="4" customFormat="false" ht="15" hidden="false" customHeight="true" outlineLevel="0" collapsed="false">
      <c r="B4" s="11" t="s">
        <v>107</v>
      </c>
      <c r="C4" s="16" t="s">
        <v>108</v>
      </c>
    </row>
    <row r="5" customFormat="false" ht="15" hidden="false" customHeight="true" outlineLevel="0" collapsed="false">
      <c r="B5" s="11" t="s">
        <v>109</v>
      </c>
      <c r="C5" s="16" t="s">
        <v>110</v>
      </c>
    </row>
    <row r="6" customFormat="false" ht="15" hidden="false" customHeight="true" outlineLevel="0" collapsed="false">
      <c r="B6" s="11" t="s">
        <v>111</v>
      </c>
      <c r="C6" s="16" t="s">
        <v>112</v>
      </c>
    </row>
    <row r="7" customFormat="false" ht="15" hidden="false" customHeight="true" outlineLevel="0" collapsed="false">
      <c r="B7" s="11" t="s">
        <v>113</v>
      </c>
      <c r="C7" s="16" t="s">
        <v>114</v>
      </c>
    </row>
    <row r="8" customFormat="false" ht="15" hidden="false" customHeight="true" outlineLevel="0" collapsed="false">
      <c r="B8" s="11" t="s">
        <v>115</v>
      </c>
      <c r="C8" s="16" t="s">
        <v>116</v>
      </c>
    </row>
    <row r="9" customFormat="false" ht="15" hidden="false" customHeight="true" outlineLevel="0" collapsed="false">
      <c r="B9" s="11" t="s">
        <v>117</v>
      </c>
      <c r="C9" s="16" t="s">
        <v>118</v>
      </c>
    </row>
    <row r="10" customFormat="false" ht="15" hidden="false" customHeight="true" outlineLevel="0" collapsed="false">
      <c r="B10" s="11" t="s">
        <v>119</v>
      </c>
      <c r="C10" s="16" t="s">
        <v>120</v>
      </c>
    </row>
    <row r="11" customFormat="false" ht="15" hidden="false" customHeight="true" outlineLevel="0" collapsed="false">
      <c r="B11" s="11" t="s">
        <v>121</v>
      </c>
      <c r="C11" s="16" t="s">
        <v>122</v>
      </c>
    </row>
    <row r="12" customFormat="false" ht="15" hidden="false" customHeight="true" outlineLevel="0" collapsed="false">
      <c r="B12" s="11" t="s">
        <v>123</v>
      </c>
      <c r="C12" s="16" t="s">
        <v>124</v>
      </c>
    </row>
    <row r="13" customFormat="false" ht="15" hidden="false" customHeight="true" outlineLevel="0" collapsed="false">
      <c r="B13" s="11" t="s">
        <v>125</v>
      </c>
      <c r="C13" s="16" t="s">
        <v>126</v>
      </c>
    </row>
    <row r="14" customFormat="false" ht="15" hidden="false" customHeight="true" outlineLevel="0" collapsed="false">
      <c r="B14" s="11" t="s">
        <v>127</v>
      </c>
      <c r="C14" s="16" t="s">
        <v>128</v>
      </c>
    </row>
    <row r="15" customFormat="false" ht="15" hidden="false" customHeight="true" outlineLevel="0" collapsed="false">
      <c r="B15" s="11" t="s">
        <v>129</v>
      </c>
      <c r="C15" s="16" t="s">
        <v>130</v>
      </c>
    </row>
    <row r="16" customFormat="false" ht="15" hidden="false" customHeight="true" outlineLevel="0" collapsed="false">
      <c r="B16" s="11" t="s">
        <v>131</v>
      </c>
      <c r="C16" s="16" t="s">
        <v>132</v>
      </c>
    </row>
    <row r="17" customFormat="false" ht="15" hidden="false" customHeight="true" outlineLevel="0" collapsed="false">
      <c r="B17" s="11" t="s">
        <v>133</v>
      </c>
      <c r="C17" s="16" t="s">
        <v>134</v>
      </c>
    </row>
    <row r="18" customFormat="false" ht="15" hidden="false" customHeight="true" outlineLevel="0" collapsed="false">
      <c r="B18" s="11" t="s">
        <v>135</v>
      </c>
      <c r="C18" s="16" t="s">
        <v>136</v>
      </c>
    </row>
    <row r="19" customFormat="false" ht="15" hidden="false" customHeight="true" outlineLevel="0" collapsed="false">
      <c r="B19" s="11" t="s">
        <v>137</v>
      </c>
      <c r="C19" s="16" t="s">
        <v>138</v>
      </c>
    </row>
    <row r="20" customFormat="false" ht="15" hidden="false" customHeight="true" outlineLevel="0" collapsed="false">
      <c r="B20" s="11" t="s">
        <v>139</v>
      </c>
      <c r="C20" s="16" t="s">
        <v>140</v>
      </c>
    </row>
    <row r="21" customFormat="false" ht="15" hidden="false" customHeight="true" outlineLevel="0" collapsed="false">
      <c r="B21" s="11" t="s">
        <v>141</v>
      </c>
      <c r="C21" s="16" t="s">
        <v>142</v>
      </c>
    </row>
    <row r="24" customFormat="false" ht="15.75" hidden="false" customHeight="true" outlineLevel="0" collapsed="false">
      <c r="B24" s="7" t="s">
        <v>143</v>
      </c>
      <c r="C24" s="7"/>
    </row>
    <row r="25" customFormat="false" ht="15" hidden="false" customHeight="true" outlineLevel="0" collapsed="false">
      <c r="B25" s="23" t="s">
        <v>144</v>
      </c>
      <c r="C25" s="16" t="s">
        <v>145</v>
      </c>
    </row>
    <row r="26" customFormat="false" ht="15" hidden="false" customHeight="true" outlineLevel="0" collapsed="false">
      <c r="B26" s="23" t="s">
        <v>146</v>
      </c>
      <c r="C26" s="16" t="s">
        <v>147</v>
      </c>
    </row>
    <row r="27" customFormat="false" ht="15" hidden="false" customHeight="true" outlineLevel="0" collapsed="false">
      <c r="B27" s="23" t="s">
        <v>148</v>
      </c>
      <c r="C27" s="16" t="s">
        <v>149</v>
      </c>
    </row>
    <row r="28" customFormat="false" ht="15" hidden="false" customHeight="true" outlineLevel="0" collapsed="false">
      <c r="B28" s="23" t="s">
        <v>150</v>
      </c>
      <c r="C28" s="16" t="s">
        <v>151</v>
      </c>
    </row>
  </sheetData>
  <mergeCells count="2">
    <mergeCell ref="B1:C1"/>
    <mergeCell ref="B24:C2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2026-04-01T18:24:42Z</dcterms:created>
  <dc:creator>openpyxl</dc:creator>
  <dc:description/>
  <dc:language>en-US</dc:language>
  <cp:lastModifiedBy/>
  <dcterms:modified xsi:type="dcterms:W3CDTF">2026-04-01T18:25:07Z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