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440\440-Part2\"/>
    </mc:Choice>
  </mc:AlternateContent>
  <xr:revisionPtr revIDLastSave="0" documentId="13_ncr:1_{A850AC31-A598-4C15-91F1-7E84B1F5CE35}" xr6:coauthVersionLast="47" xr6:coauthVersionMax="47" xr10:uidLastSave="{00000000-0000-0000-0000-000000000000}"/>
  <bookViews>
    <workbookView xWindow="-108" yWindow="-108" windowWidth="23256" windowHeight="13896" tabRatio="500" firstSheet="3" activeTab="4" xr2:uid="{00000000-000D-0000-FFFF-FFFF00000000}"/>
  </bookViews>
  <sheets>
    <sheet name="Contents" sheetId="1" r:id="rId1"/>
    <sheet name="Forecasting_SMA" sheetId="2" r:id="rId2"/>
    <sheet name="Forecasting_WMA" sheetId="3" r:id="rId3"/>
    <sheet name="Forecasting_ExpSmooth" sheetId="4" r:id="rId4"/>
    <sheet name="Forecasting_Regression" sheetId="5" r:id="rId5"/>
    <sheet name="Forecasting_Error" sheetId="6" r:id="rId6"/>
    <sheet name="SOP_ProdRequirement" sheetId="7" r:id="rId7"/>
    <sheet name="SOP_ChaseStrategy" sheetId="8" r:id="rId8"/>
    <sheet name="SOP_LevelStrategy" sheetId="9" r:id="rId9"/>
    <sheet name="SOP_Subcontract" sheetId="10" r:id="rId10"/>
    <sheet name="Inventory_EOQ" sheetId="11" r:id="rId11"/>
    <sheet name="Inventory_SafetyStock" sheetId="12" r:id="rId12"/>
    <sheet name="Inventory_PModel" sheetId="13" r:id="rId13"/>
    <sheet name="Inventory_PriceBreak" sheetId="14" r:id="rId14"/>
    <sheet name="Inventory_SinglePeriod" sheetId="15" r:id="rId15"/>
    <sheet name="MRP_Solution" sheetId="16" r:id="rId1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1" i="15" l="1"/>
  <c r="C10" i="15"/>
  <c r="C12" i="15" s="1"/>
  <c r="F6" i="15"/>
  <c r="C19" i="14"/>
  <c r="D19" i="14" s="1"/>
  <c r="C18" i="14"/>
  <c r="D18" i="14" s="1"/>
  <c r="F18" i="14" s="1"/>
  <c r="G18" i="14" s="1"/>
  <c r="C17" i="14"/>
  <c r="G17" i="14" s="1"/>
  <c r="C21" i="14" s="1"/>
  <c r="C28" i="13"/>
  <c r="C29" i="13" s="1"/>
  <c r="C14" i="13"/>
  <c r="C15" i="13" s="1"/>
  <c r="C12" i="12"/>
  <c r="C11" i="12"/>
  <c r="C13" i="12" s="1"/>
  <c r="F6" i="12"/>
  <c r="C16" i="11"/>
  <c r="C17" i="11" s="1"/>
  <c r="C13" i="11"/>
  <c r="C15" i="11" s="1"/>
  <c r="H18" i="10"/>
  <c r="G18" i="10"/>
  <c r="F18" i="10"/>
  <c r="H14" i="10"/>
  <c r="H15" i="10" s="1"/>
  <c r="H16" i="10" s="1"/>
  <c r="H17" i="10" s="1"/>
  <c r="G14" i="10"/>
  <c r="G15" i="10" s="1"/>
  <c r="G16" i="10" s="1"/>
  <c r="G17" i="10" s="1"/>
  <c r="F14" i="10"/>
  <c r="F15" i="10" s="1"/>
  <c r="F16" i="10" s="1"/>
  <c r="F17" i="10" s="1"/>
  <c r="E14" i="10"/>
  <c r="E18" i="10" s="1"/>
  <c r="D14" i="10"/>
  <c r="D18" i="10" s="1"/>
  <c r="C14" i="10"/>
  <c r="C15" i="10" s="1"/>
  <c r="C16" i="10" s="1"/>
  <c r="C17" i="10" s="1"/>
  <c r="H24" i="9"/>
  <c r="G24" i="9"/>
  <c r="H17" i="9"/>
  <c r="G17" i="9"/>
  <c r="H16" i="9"/>
  <c r="G16" i="9"/>
  <c r="F16" i="9"/>
  <c r="F24" i="9" s="1"/>
  <c r="E16" i="9"/>
  <c r="E24" i="9" s="1"/>
  <c r="D16" i="9"/>
  <c r="D24" i="9" s="1"/>
  <c r="C16" i="9"/>
  <c r="C24" i="9" s="1"/>
  <c r="I24" i="9" s="1"/>
  <c r="C14" i="9"/>
  <c r="F22" i="8"/>
  <c r="E22" i="8"/>
  <c r="D22" i="8"/>
  <c r="C22" i="8"/>
  <c r="H16" i="8"/>
  <c r="G16" i="8"/>
  <c r="F16" i="8"/>
  <c r="F17" i="8" s="1"/>
  <c r="E16" i="8"/>
  <c r="E17" i="8" s="1"/>
  <c r="D16" i="8"/>
  <c r="D17" i="8" s="1"/>
  <c r="C16" i="8"/>
  <c r="C17" i="8" s="1"/>
  <c r="H14" i="8"/>
  <c r="H22" i="8" s="1"/>
  <c r="G14" i="8"/>
  <c r="G22" i="8" s="1"/>
  <c r="F14" i="8"/>
  <c r="E14" i="8"/>
  <c r="D14" i="8"/>
  <c r="C14" i="8"/>
  <c r="C16" i="7"/>
  <c r="C8" i="7"/>
  <c r="C9" i="7" s="1"/>
  <c r="E12" i="6"/>
  <c r="G12" i="6" s="1"/>
  <c r="E11" i="6"/>
  <c r="G11" i="6" s="1"/>
  <c r="E10" i="6"/>
  <c r="G10" i="6" s="1"/>
  <c r="E9" i="6"/>
  <c r="F9" i="6" s="1"/>
  <c r="E8" i="6"/>
  <c r="G8" i="6" s="1"/>
  <c r="E7" i="6"/>
  <c r="G7" i="6" s="1"/>
  <c r="E6" i="6"/>
  <c r="G6" i="6" s="1"/>
  <c r="E5" i="6"/>
  <c r="H5" i="6" s="1"/>
  <c r="H6" i="6" s="1"/>
  <c r="H7" i="6" s="1"/>
  <c r="H8" i="6" s="1"/>
  <c r="H9" i="6" s="1"/>
  <c r="H10" i="6" s="1"/>
  <c r="H11" i="6" s="1"/>
  <c r="H12" i="6" s="1"/>
  <c r="D16" i="6" s="1"/>
  <c r="E11" i="5"/>
  <c r="C11" i="5"/>
  <c r="B11" i="5"/>
  <c r="E10" i="5"/>
  <c r="D10" i="5"/>
  <c r="E9" i="5"/>
  <c r="D9" i="5"/>
  <c r="E8" i="5"/>
  <c r="D8" i="5"/>
  <c r="E7" i="5"/>
  <c r="D7" i="5"/>
  <c r="E6" i="5"/>
  <c r="D6" i="5"/>
  <c r="E5" i="5"/>
  <c r="D5" i="5"/>
  <c r="D11" i="5" s="1"/>
  <c r="C14" i="5" s="1"/>
  <c r="C15" i="5" s="1"/>
  <c r="D8" i="4"/>
  <c r="E8" i="4" s="1"/>
  <c r="E7" i="4"/>
  <c r="F17" i="3"/>
  <c r="E17" i="3"/>
  <c r="D17" i="3"/>
  <c r="G17" i="3" s="1"/>
  <c r="H17" i="3" s="1"/>
  <c r="F16" i="3"/>
  <c r="E16" i="3"/>
  <c r="D16" i="3"/>
  <c r="G16" i="3" s="1"/>
  <c r="H16" i="3" s="1"/>
  <c r="F15" i="3"/>
  <c r="E15" i="3"/>
  <c r="D15" i="3"/>
  <c r="G15" i="3" s="1"/>
  <c r="H15" i="3" s="1"/>
  <c r="F14" i="3"/>
  <c r="E14" i="3"/>
  <c r="D14" i="3"/>
  <c r="G14" i="3" s="1"/>
  <c r="H14" i="3" s="1"/>
  <c r="G13" i="3"/>
  <c r="H13" i="3" s="1"/>
  <c r="F13" i="3"/>
  <c r="E13" i="3"/>
  <c r="D13" i="3"/>
  <c r="F12" i="3"/>
  <c r="E12" i="3"/>
  <c r="D12" i="3"/>
  <c r="G12" i="3" s="1"/>
  <c r="H12" i="3" s="1"/>
  <c r="F11" i="3"/>
  <c r="E11" i="3"/>
  <c r="D11" i="3"/>
  <c r="G11" i="3" s="1"/>
  <c r="H11" i="3" s="1"/>
  <c r="D14" i="2"/>
  <c r="E14" i="2" s="1"/>
  <c r="D13" i="2"/>
  <c r="E13" i="2" s="1"/>
  <c r="D12" i="2"/>
  <c r="E12" i="2" s="1"/>
  <c r="D11" i="2"/>
  <c r="E11" i="2" s="1"/>
  <c r="D10" i="2"/>
  <c r="E10" i="2" s="1"/>
  <c r="D9" i="2"/>
  <c r="E9" i="2" s="1"/>
  <c r="D16" i="2" s="1"/>
  <c r="E8" i="2"/>
  <c r="D8" i="2"/>
  <c r="F9" i="5" l="1"/>
  <c r="F6" i="5"/>
  <c r="F5" i="5"/>
  <c r="F8" i="5"/>
  <c r="F10" i="5"/>
  <c r="C17" i="5"/>
  <c r="C18" i="5"/>
  <c r="F7" i="5"/>
  <c r="C18" i="8"/>
  <c r="C19" i="8" s="1"/>
  <c r="D20" i="8"/>
  <c r="D21" i="8" s="1"/>
  <c r="C20" i="8"/>
  <c r="C21" i="8" s="1"/>
  <c r="F20" i="8"/>
  <c r="F21" i="8" s="1"/>
  <c r="E18" i="8"/>
  <c r="E19" i="8" s="1"/>
  <c r="I17" i="10"/>
  <c r="I20" i="10" s="1"/>
  <c r="D18" i="8"/>
  <c r="D19" i="8" s="1"/>
  <c r="E20" i="8"/>
  <c r="E21" i="8" s="1"/>
  <c r="G19" i="3"/>
  <c r="F18" i="8"/>
  <c r="F19" i="8" s="1"/>
  <c r="I22" i="8"/>
  <c r="C19" i="9"/>
  <c r="D17" i="14"/>
  <c r="F8" i="6"/>
  <c r="F12" i="6"/>
  <c r="F5" i="6"/>
  <c r="C14" i="11"/>
  <c r="G5" i="6"/>
  <c r="D15" i="6" s="1"/>
  <c r="F6" i="6"/>
  <c r="F10" i="6"/>
  <c r="G17" i="8"/>
  <c r="C17" i="9"/>
  <c r="E15" i="10"/>
  <c r="E16" i="10" s="1"/>
  <c r="E17" i="10" s="1"/>
  <c r="D15" i="10"/>
  <c r="D16" i="10" s="1"/>
  <c r="D17" i="10" s="1"/>
  <c r="H17" i="8"/>
  <c r="D17" i="9"/>
  <c r="C18" i="10"/>
  <c r="I18" i="10" s="1"/>
  <c r="G9" i="6"/>
  <c r="D9" i="4"/>
  <c r="F7" i="6"/>
  <c r="F11" i="6"/>
  <c r="E17" i="9"/>
  <c r="F17" i="9"/>
  <c r="H20" i="8" l="1"/>
  <c r="H21" i="8" s="1"/>
  <c r="G18" i="8"/>
  <c r="G19" i="8" s="1"/>
  <c r="H18" i="8"/>
  <c r="H19" i="8" s="1"/>
  <c r="I19" i="8" s="1"/>
  <c r="I24" i="8" s="1"/>
  <c r="G20" i="8"/>
  <c r="G21" i="8" s="1"/>
  <c r="I21" i="8"/>
  <c r="D14" i="6"/>
  <c r="D17" i="6" s="1"/>
  <c r="D10" i="4"/>
  <c r="E9" i="4"/>
  <c r="C22" i="9"/>
  <c r="C23" i="9" s="1"/>
  <c r="D14" i="9"/>
  <c r="D19" i="9" s="1"/>
  <c r="C20" i="9"/>
  <c r="D22" i="9" l="1"/>
  <c r="D23" i="9" s="1"/>
  <c r="D20" i="9"/>
  <c r="E14" i="9"/>
  <c r="E19" i="9" s="1"/>
  <c r="D11" i="4"/>
  <c r="E10" i="4"/>
  <c r="E11" i="4" l="1"/>
  <c r="D12" i="4"/>
  <c r="E20" i="9"/>
  <c r="F14" i="9"/>
  <c r="F19" i="9" s="1"/>
  <c r="E22" i="9"/>
  <c r="E23" i="9" s="1"/>
  <c r="E12" i="4" l="1"/>
  <c r="D13" i="4"/>
  <c r="F20" i="9"/>
  <c r="F22" i="9"/>
  <c r="F23" i="9" s="1"/>
  <c r="G14" i="9"/>
  <c r="G19" i="9" s="1"/>
  <c r="G20" i="9" l="1"/>
  <c r="H14" i="9"/>
  <c r="H19" i="9" s="1"/>
  <c r="G22" i="9"/>
  <c r="G23" i="9" s="1"/>
  <c r="E13" i="4"/>
  <c r="D14" i="4"/>
  <c r="D15" i="4" l="1"/>
  <c r="E14" i="4"/>
  <c r="H20" i="9"/>
  <c r="H22" i="9"/>
  <c r="H23" i="9" s="1"/>
  <c r="I23" i="9" s="1"/>
  <c r="I20" i="9"/>
  <c r="I26" i="9" l="1"/>
  <c r="D16" i="4"/>
  <c r="E16" i="4" s="1"/>
  <c r="E15" i="4"/>
  <c r="D18" i="4" l="1"/>
</calcChain>
</file>

<file path=xl/sharedStrings.xml><?xml version="1.0" encoding="utf-8"?>
<sst xmlns="http://schemas.openxmlformats.org/spreadsheetml/2006/main" count="582" uniqueCount="411">
  <si>
    <t>OSCM PRACTICE PROBLEMS &amp; SOLUTIONS</t>
  </si>
  <si>
    <t>Chapters 18-21 | Complete Problem Set with Step-by-Step Solutions</t>
  </si>
  <si>
    <t>TABLE OF CONTENTS</t>
  </si>
  <si>
    <t>CHAPTER 18: FORECASTING</t>
  </si>
  <si>
    <t xml:space="preserve">  1. Forecasting_SMA</t>
  </si>
  <si>
    <t>Simple Moving Average (Starbucks)</t>
  </si>
  <si>
    <t xml:space="preserve">  2. Forecasting_WMA</t>
  </si>
  <si>
    <t>Weighted Moving Average (Nike)</t>
  </si>
  <si>
    <t xml:space="preserve">  3. Forecasting_ExpSmooth</t>
  </si>
  <si>
    <t>Exponential Smoothing (Amazon)</t>
  </si>
  <si>
    <t xml:space="preserve">  4. Forecasting_Regression</t>
  </si>
  <si>
    <t>Linear Regression / Trend</t>
  </si>
  <si>
    <t xml:space="preserve">  5. Forecasting_Error</t>
  </si>
  <si>
    <t>MAD, MAPE, Tracking Signal (Apple)</t>
  </si>
  <si>
    <t>CHAPTER 19: SALES &amp; OPERATIONS PLANNING</t>
  </si>
  <si>
    <t xml:space="preserve">  6. SOP_ProdRequirement</t>
  </si>
  <si>
    <t>Production Requirement Calculation</t>
  </si>
  <si>
    <t xml:space="preserve">  7. SOP_ChaseStrategy</t>
  </si>
  <si>
    <t>Chase Strategy (Target)</t>
  </si>
  <si>
    <t xml:space="preserve">  8. SOP_LevelStrategy</t>
  </si>
  <si>
    <t>Level Strategy (Toyota)</t>
  </si>
  <si>
    <t xml:space="preserve">  9. SOP_Subcontract</t>
  </si>
  <si>
    <t>Constant Workforce + Subcontract</t>
  </si>
  <si>
    <t xml:space="preserve">  10. SOP_Textbook_Ex19</t>
  </si>
  <si>
    <t>Exhibits 19.3-19.5 (4 Plans)</t>
  </si>
  <si>
    <t>CHAPTER 20: INVENTORY MANAGEMENT</t>
  </si>
  <si>
    <t xml:space="preserve">  11. Inventory_EOQ</t>
  </si>
  <si>
    <t>EOQ, Ordering Cost, Holding Cost, ROP</t>
  </si>
  <si>
    <t xml:space="preserve">  12. Inventory_SafetyStock</t>
  </si>
  <si>
    <t>Q-Model with Safety Stock</t>
  </si>
  <si>
    <t xml:space="preserve">  13. Inventory_PModel</t>
  </si>
  <si>
    <t>P-Model (Fixed-Time Period)</t>
  </si>
  <si>
    <t xml:space="preserve">  14. Inventory_PriceBreak</t>
  </si>
  <si>
    <t>Price-Break Model</t>
  </si>
  <si>
    <t xml:space="preserve">  15. Inventory_SinglePeriod</t>
  </si>
  <si>
    <t>Single-Period (Newsvendor) Model</t>
  </si>
  <si>
    <t>CHAPTER 21: MRP</t>
  </si>
  <si>
    <t xml:space="preserve">  16. MRP_Solution</t>
  </si>
  <si>
    <t>Complete MRP Explosion (Items A-E)</t>
  </si>
  <si>
    <t>COLOR KEY:</t>
  </si>
  <si>
    <t xml:space="preserve">  Blue cells = Inputs (you can change these)</t>
  </si>
  <si>
    <t xml:space="preserve">  Green cells = Formulas (auto-calculated)</t>
  </si>
  <si>
    <t xml:space="preserve">  Yellow cells = Key results / Student answers</t>
  </si>
  <si>
    <t xml:space="preserve">  Pink cells = Final answers / Solutions</t>
  </si>
  <si>
    <t>SIMPLE MOVING AVERAGE (SMA)</t>
  </si>
  <si>
    <t>Starbucks Daily Latte Sales</t>
  </si>
  <si>
    <t>Day</t>
  </si>
  <si>
    <t>Actual Sales</t>
  </si>
  <si>
    <t>3-Day SMA</t>
  </si>
  <si>
    <t>Error |A-F|</t>
  </si>
  <si>
    <t>HOW SMA WORKS:</t>
  </si>
  <si>
    <t>Mon</t>
  </si>
  <si>
    <t>SMA(n) = Sum of last n periods / n</t>
  </si>
  <si>
    <t>Tue</t>
  </si>
  <si>
    <t>3-Day SMA for Thu = (Mon+Tue+Wed)/3</t>
  </si>
  <si>
    <t>Wed</t>
  </si>
  <si>
    <t xml:space="preserve">  = (120+135+110)/3 = 121.7</t>
  </si>
  <si>
    <t>Thu</t>
  </si>
  <si>
    <t>Fri</t>
  </si>
  <si>
    <t>KEY INSIGHT: SMA gives equal weight to all</t>
  </si>
  <si>
    <t>Sat</t>
  </si>
  <si>
    <t>periods. Larger n = smoother but slower response.</t>
  </si>
  <si>
    <t>Sun</t>
  </si>
  <si>
    <t>Mon2</t>
  </si>
  <si>
    <t>Tue2</t>
  </si>
  <si>
    <t>Wed2</t>
  </si>
  <si>
    <t>MAD</t>
  </si>
  <si>
    <t>WEIGHTED MOVING AVERAGE (WMA)</t>
  </si>
  <si>
    <t>Nike Weekly Shoe Sales (units)</t>
  </si>
  <si>
    <t>Weights:</t>
  </si>
  <si>
    <t>Most Recent</t>
  </si>
  <si>
    <t>1 Period Ago</t>
  </si>
  <si>
    <t>2 Periods Ago</t>
  </si>
  <si>
    <t>Week</t>
  </si>
  <si>
    <t>Actual</t>
  </si>
  <si>
    <t>w1*A(t-1)</t>
  </si>
  <si>
    <t>w2*A(t-2)</t>
  </si>
  <si>
    <t>w3*A(t-3)</t>
  </si>
  <si>
    <t>WMA</t>
  </si>
  <si>
    <t>Error</t>
  </si>
  <si>
    <t>HOW WMA WORKS:</t>
  </si>
  <si>
    <t>Week 1</t>
  </si>
  <si>
    <t>WMA = w1*A(t-1) + w2*A(t-2) + w3*A(t-3)</t>
  </si>
  <si>
    <t>Week 2</t>
  </si>
  <si>
    <t>Weights must sum to 1.0</t>
  </si>
  <si>
    <t>Week 3</t>
  </si>
  <si>
    <t>Higher weight on recent = more responsive</t>
  </si>
  <si>
    <t>Week 4</t>
  </si>
  <si>
    <t>Try changing weights in C5:E5!</t>
  </si>
  <si>
    <t>Week 5</t>
  </si>
  <si>
    <t>Week 6</t>
  </si>
  <si>
    <t>Week 7</t>
  </si>
  <si>
    <t>Week 8</t>
  </si>
  <si>
    <t>Week 9</t>
  </si>
  <si>
    <t>Week 10</t>
  </si>
  <si>
    <t>EXPONENTIAL SMOOTHING</t>
  </si>
  <si>
    <t>Amazon Daily Package Volume (thousands)</t>
  </si>
  <si>
    <t>Alpha (smoothing constant):</t>
  </si>
  <si>
    <t>Actual (A)</t>
  </si>
  <si>
    <t>Forecast (F)</t>
  </si>
  <si>
    <t>FORMULA: Ft = Ft-1 + alpha * (At-1 - Ft-1)</t>
  </si>
  <si>
    <t>Day 1</t>
  </si>
  <si>
    <t>Day 2: F2 = 50 + 0.3*(50-50) = 50.00</t>
  </si>
  <si>
    <t>Day 2</t>
  </si>
  <si>
    <t>Day 3: F3 = 50.00 + 0.3*(52-50.00) = 50.60</t>
  </si>
  <si>
    <t>Day 3</t>
  </si>
  <si>
    <t>Day 4</t>
  </si>
  <si>
    <t>Low alpha (0.1) = smooth, slow response</t>
  </si>
  <si>
    <t>Day 5</t>
  </si>
  <si>
    <t>High alpha (0.9) = responsive, noisy</t>
  </si>
  <si>
    <t>Day 6</t>
  </si>
  <si>
    <t>Try changing alpha in D4!</t>
  </si>
  <si>
    <t>Day 7</t>
  </si>
  <si>
    <t>Day 8</t>
  </si>
  <si>
    <t>Day 9</t>
  </si>
  <si>
    <t>Day 10</t>
  </si>
  <si>
    <t>LINEAR REGRESSION / TREND FORECASTING</t>
  </si>
  <si>
    <t>Tesla Monthly Vehicle Deliveries (thousands)</t>
  </si>
  <si>
    <t>Month (X)</t>
  </si>
  <si>
    <t>Deliveries (Y)</t>
  </si>
  <si>
    <t>X*Y</t>
  </si>
  <si>
    <t>X^2</t>
  </si>
  <si>
    <t>Forecast</t>
  </si>
  <si>
    <t>REGRESSION: Y = a + bX</t>
  </si>
  <si>
    <t>b = (n*Sum(XY) - Sum(X)*Sum(Y)) / (n*Sum(X^2) - (Sum(X))^2)</t>
  </si>
  <si>
    <t>a = (Sum(Y) - b*Sum(X)) / n</t>
  </si>
  <si>
    <t>Use to forecast future periods by plugging in X</t>
  </si>
  <si>
    <t>n =</t>
  </si>
  <si>
    <t>Slope (b) =</t>
  </si>
  <si>
    <t>Intercept (a) =</t>
  </si>
  <si>
    <t>Forecast Month 7:</t>
  </si>
  <si>
    <t>Forecast Month 8:</t>
  </si>
  <si>
    <t>FORECAST ERROR METRICS</t>
  </si>
  <si>
    <t>Apple iPhone Monthly Sales Forecast Evaluation</t>
  </si>
  <si>
    <t>Error (A-F)</t>
  </si>
  <si>
    <t>|Error|</t>
  </si>
  <si>
    <t>% Error</t>
  </si>
  <si>
    <t>RSFE</t>
  </si>
  <si>
    <t>ERROR METRICS FORMULAS:</t>
  </si>
  <si>
    <t>MAD = Average of |Actual - Forecast|</t>
  </si>
  <si>
    <t>MAPE = Average of |Error|/Actual * 100%</t>
  </si>
  <si>
    <t>RSFE = Running Sum of Forecast Errors</t>
  </si>
  <si>
    <t>Tracking Signal = RSFE / MAD</t>
  </si>
  <si>
    <t>RULE OF THUMB:</t>
  </si>
  <si>
    <t>Tracking signal should stay between -4 and +4</t>
  </si>
  <si>
    <t>If outside range, forecast is biased!</t>
  </si>
  <si>
    <t>MAPE</t>
  </si>
  <si>
    <t>RSFE (final)</t>
  </si>
  <si>
    <t>Tracking Signal</t>
  </si>
  <si>
    <t>PRODUCTION REQUIREMENT CALCULATION</t>
  </si>
  <si>
    <t>Chapter 19 - S&amp;OP Fundamentals</t>
  </si>
  <si>
    <t>EXAMPLE 1: Basic Production Requirement</t>
  </si>
  <si>
    <t>FORMULA:</t>
  </si>
  <si>
    <t>Beginning Inventory</t>
  </si>
  <si>
    <t>Prod Req = Demand + Safety Stock - Beg Inventory</t>
  </si>
  <si>
    <t>Demand Forecast</t>
  </si>
  <si>
    <t xml:space="preserve"> =1200 + 240 - 100 = 1,340</t>
  </si>
  <si>
    <t>Safety Stock (% of demand)</t>
  </si>
  <si>
    <t>Safety Stock (units)</t>
  </si>
  <si>
    <t>KEY: Safety stock is extra buffer beyond demand</t>
  </si>
  <si>
    <t>Production Requirement</t>
  </si>
  <si>
    <t>EXAMPLE 2: Back-calculate Beginning Inventory</t>
  </si>
  <si>
    <t>Beg Inv + Production - Demand = End Inv</t>
  </si>
  <si>
    <t>X + 700 - 1100 = 110</t>
  </si>
  <si>
    <t>X = 110 + 1100 - 700 = 510</t>
  </si>
  <si>
    <t>Ending Inventory</t>
  </si>
  <si>
    <t>CHASE STRATEGY</t>
  </si>
  <si>
    <t>Target Distribution Center - Seasonal Staffing</t>
  </si>
  <si>
    <t>Cost Parameters:</t>
  </si>
  <si>
    <t>Hiring cost</t>
  </si>
  <si>
    <t>$/worker</t>
  </si>
  <si>
    <t>Layoff cost</t>
  </si>
  <si>
    <t>Labor hours/unit</t>
  </si>
  <si>
    <t>hrs</t>
  </si>
  <si>
    <t>Straight-time rate</t>
  </si>
  <si>
    <t>$/hr</t>
  </si>
  <si>
    <t>Hours/day</t>
  </si>
  <si>
    <t>Starting workers</t>
  </si>
  <si>
    <t>workers</t>
  </si>
  <si>
    <t>January</t>
  </si>
  <si>
    <t>February</t>
  </si>
  <si>
    <t>March</t>
  </si>
  <si>
    <t>April</t>
  </si>
  <si>
    <t>May</t>
  </si>
  <si>
    <t>June</t>
  </si>
  <si>
    <t>Total</t>
  </si>
  <si>
    <t>Prod Hours Required</t>
  </si>
  <si>
    <t>Working Days/Month</t>
  </si>
  <si>
    <t>Hours/Month/Worker</t>
  </si>
  <si>
    <t>Workers Required</t>
  </si>
  <si>
    <t>New Workers Hired</t>
  </si>
  <si>
    <t>Hiring Cost</t>
  </si>
  <si>
    <t>Workers Laid Off</t>
  </si>
  <si>
    <t>Layoff Cost</t>
  </si>
  <si>
    <t>Straight Time Cost</t>
  </si>
  <si>
    <t>TOTAL COST:</t>
  </si>
  <si>
    <t>LEVEL STRATEGY (Constant Workforce)</t>
  </si>
  <si>
    <t>Toyota Steady Production - Vary Inventory</t>
  </si>
  <si>
    <t>Number of Workers</t>
  </si>
  <si>
    <t>Hours/unit</t>
  </si>
  <si>
    <t>Inventory holding cost</t>
  </si>
  <si>
    <t>Stockout cost</t>
  </si>
  <si>
    <t>Prod Hours Available</t>
  </si>
  <si>
    <t>Actual Production</t>
  </si>
  <si>
    <t>Shortage Cost</t>
  </si>
  <si>
    <t>Safety Stock (25%)</t>
  </si>
  <si>
    <t>Units Excess</t>
  </si>
  <si>
    <t>Inventory Cost</t>
  </si>
  <si>
    <t>CONSTANT LOW WORKFORCE + SUBCONTRACT</t>
  </si>
  <si>
    <t>Plan 3 from Exhibits 19.3-19.5</t>
  </si>
  <si>
    <t>Parameters:</t>
  </si>
  <si>
    <t>Subcontracting cost/unit</t>
  </si>
  <si>
    <t>Units Subcontracted</t>
  </si>
  <si>
    <t>Subcontracting Cost</t>
  </si>
  <si>
    <t>HOW TO FIND MINIMUM WORKFORCE:</t>
  </si>
  <si>
    <t>Find period with LOWEST production requirement</t>
  </si>
  <si>
    <t>Workers = (Min Prod Req * Hrs/Unit) / (Days * Hrs/Day)</t>
  </si>
  <si>
    <t xml:space="preserve"> =(850 * 5) / (21 * 8) = 25.3 -&gt; round to 25</t>
  </si>
  <si>
    <t>ECONOMIC ORDER QUANTITY (EOQ)</t>
  </si>
  <si>
    <t>Q-Model with Certain Demand</t>
  </si>
  <si>
    <t>Given Information:</t>
  </si>
  <si>
    <t>EOQ FORMULA:</t>
  </si>
  <si>
    <t>Annual Demand (D)</t>
  </si>
  <si>
    <t>units</t>
  </si>
  <si>
    <t>EOQ = SQRT(2*D*S / H)</t>
  </si>
  <si>
    <t>Cost per unit (C)</t>
  </si>
  <si>
    <t>$</t>
  </si>
  <si>
    <t xml:space="preserve"> =SQRT(2 * 1000 * 5 / 4) = 50 units</t>
  </si>
  <si>
    <t>Ordering cost per order (S)</t>
  </si>
  <si>
    <t>Holding cost per unit/year (H)</t>
  </si>
  <si>
    <t>$/unit/yr</t>
  </si>
  <si>
    <t>Total Ordering Cost = (D/Q) * S</t>
  </si>
  <si>
    <t>Operating weeks/year</t>
  </si>
  <si>
    <t>weeks</t>
  </si>
  <si>
    <t>Total Holding Cost = (Q/2) * H</t>
  </si>
  <si>
    <t>Lead time (L)</t>
  </si>
  <si>
    <t>At EOQ: Ordering Cost = Holding Cost!</t>
  </si>
  <si>
    <t>Solutions:</t>
  </si>
  <si>
    <t>Reorder Point = d * L</t>
  </si>
  <si>
    <t>a) EOQ</t>
  </si>
  <si>
    <t xml:space="preserve"> =(1000/50) * 2 = 40 units</t>
  </si>
  <si>
    <t>b) Total Ordering Cost/Year</t>
  </si>
  <si>
    <t>c) Total Holding Cost/Year</t>
  </si>
  <si>
    <t>d) Demand per week (d)</t>
  </si>
  <si>
    <t>units/wk</t>
  </si>
  <si>
    <t xml:space="preserve">    Reorder Point (R) = d * L</t>
  </si>
  <si>
    <t>Q-MODEL WITH SAFETY STOCK</t>
  </si>
  <si>
    <t>Reorder Point with Uncertain Demand</t>
  </si>
  <si>
    <t>FORMULA (Eq 20.5):</t>
  </si>
  <si>
    <t>Average daily demand (d-bar)</t>
  </si>
  <si>
    <t>units/day</t>
  </si>
  <si>
    <t>R = d-bar * L + z * sigma_L</t>
  </si>
  <si>
    <t>days</t>
  </si>
  <si>
    <t>Desired z-value</t>
  </si>
  <si>
    <t xml:space="preserve"> =60 + 5.88 = 65.88 -&gt; 66 units</t>
  </si>
  <si>
    <t>Std dev during lead time (sigma_L)</t>
  </si>
  <si>
    <t>NOTE: EOQ formula is same as certain demand</t>
  </si>
  <si>
    <t>Solution:</t>
  </si>
  <si>
    <t>Average inventory = Q/2 + safety stock</t>
  </si>
  <si>
    <t>Avg demand during lead time (d-bar * L)</t>
  </si>
  <si>
    <t>Safety Stock (z * sigma_L)</t>
  </si>
  <si>
    <t>Reorder Point R</t>
  </si>
  <si>
    <t>P-MODEL (Fixed-Time Period)</t>
  </si>
  <si>
    <t>Periodic Review System</t>
  </si>
  <si>
    <t>EXAMPLE 1:</t>
  </si>
  <si>
    <t>P-MODEL FORMULA:</t>
  </si>
  <si>
    <t>Daily demand (d-bar)</t>
  </si>
  <si>
    <t>q = d-bar*(T+L) + z*sigma(T+L) - I</t>
  </si>
  <si>
    <t>Std dev of daily demand</t>
  </si>
  <si>
    <t>Review period (T)</t>
  </si>
  <si>
    <t>Where:</t>
  </si>
  <si>
    <t>T = review period, L = lead time</t>
  </si>
  <si>
    <t>Current stock on hand (I)</t>
  </si>
  <si>
    <t>sigma(T+L) = sigma_d * SQRT(T+L)</t>
  </si>
  <si>
    <t>Service level</t>
  </si>
  <si>
    <t>I = current inventory on hand</t>
  </si>
  <si>
    <t>z-value (for 99%)</t>
  </si>
  <si>
    <t>KEY DIFFERENCE FROM Q-MODEL:</t>
  </si>
  <si>
    <t>Q-model: fixed order size, variable time</t>
  </si>
  <si>
    <t>P-model: fixed time, variable order size</t>
  </si>
  <si>
    <t>Order Qty q = d*(T+L) + z*sigma(T+L) - I</t>
  </si>
  <si>
    <t>EXAMPLE 2:</t>
  </si>
  <si>
    <t>z-value (for 95%)</t>
  </si>
  <si>
    <t>PRICE-BREAK MODEL</t>
  </si>
  <si>
    <t>SMI Steel Purchasing Decision</t>
  </si>
  <si>
    <t>Given:</t>
  </si>
  <si>
    <t>PRICE-BREAK STEPS:</t>
  </si>
  <si>
    <t>1. Start with LOWEST price</t>
  </si>
  <si>
    <t>Ordering cost (S)</t>
  </si>
  <si>
    <t>$/order</t>
  </si>
  <si>
    <t>2. Calculate EOQ at that price</t>
  </si>
  <si>
    <t>Carrying cost rate (I)</t>
  </si>
  <si>
    <t>of item cost</t>
  </si>
  <si>
    <t>3. Is EOQ &gt;= minimum qty? If no, use min qty</t>
  </si>
  <si>
    <t>4. Move to next higher price, repeat</t>
  </si>
  <si>
    <t>Price Schedule:</t>
  </si>
  <si>
    <t>5. Stop when EOQ is feasible</t>
  </si>
  <si>
    <t>Order Qty</t>
  </si>
  <si>
    <t>Min Qty</t>
  </si>
  <si>
    <t>Unit Price</t>
  </si>
  <si>
    <t>6. Compare total costs of candidates</t>
  </si>
  <si>
    <t>1,000-9,999</t>
  </si>
  <si>
    <t>10,000-29,999</t>
  </si>
  <si>
    <t>TC = D*C + (D/Q)*S + (Q/2)*I*C</t>
  </si>
  <si>
    <t>30,000+</t>
  </si>
  <si>
    <t>Step 1: EOQ at each price (start lowest):</t>
  </si>
  <si>
    <t>Price</t>
  </si>
  <si>
    <t>H = I*C</t>
  </si>
  <si>
    <t>EOQ</t>
  </si>
  <si>
    <t>Feasible?</t>
  </si>
  <si>
    <t>Best Q</t>
  </si>
  <si>
    <t>Total Cost</t>
  </si>
  <si>
    <t>No (19,264 &lt; 30,000)</t>
  </si>
  <si>
    <t>Yes (19,069 in range)</t>
  </si>
  <si>
    <t>(not needed)</t>
  </si>
  <si>
    <t>WINNER:</t>
  </si>
  <si>
    <t>SINGLE-PERIOD (NEWSVENDOR) MODEL</t>
  </si>
  <si>
    <t>One-time ordering decision</t>
  </si>
  <si>
    <t>NEWSVENDOR FORMULA:</t>
  </si>
  <si>
    <t>Selling price</t>
  </si>
  <si>
    <t>$/unit</t>
  </si>
  <si>
    <t>P = Cu / (Cu + Co)</t>
  </si>
  <si>
    <t>Cost</t>
  </si>
  <si>
    <t>Salvage value</t>
  </si>
  <si>
    <t>Order the quantity where cumulative</t>
  </si>
  <si>
    <t>Calculations:</t>
  </si>
  <si>
    <t>probability first exceeds P</t>
  </si>
  <si>
    <t>Cu (cost of underestimating) = Price - Cost</t>
  </si>
  <si>
    <t>Co (cost of overestimating) = Cost - Salvage</t>
  </si>
  <si>
    <t>Cu = lost profit from underordering</t>
  </si>
  <si>
    <t>P (critical ratio) = Cu / (Cu + Co)</t>
  </si>
  <si>
    <t>Co = loss from overordering</t>
  </si>
  <si>
    <t>Demand Distribution:</t>
  </si>
  <si>
    <t>REAL WORLD: Airlines overbooking,</t>
  </si>
  <si>
    <t>Units</t>
  </si>
  <si>
    <t>Probability</t>
  </si>
  <si>
    <t>Cum. Prob P(D&lt;=X)</t>
  </si>
  <si>
    <t>fashion retail, perishable goods</t>
  </si>
  <si>
    <t>DECISION: Order 37 units</t>
  </si>
  <si>
    <t>(First cumulative prob &gt;= 0.375)</t>
  </si>
  <si>
    <t>MRP EXPLOSION - COMPLETE SOLUTION</t>
  </si>
  <si>
    <t>Material Requirements Planning (Chapter 21)</t>
  </si>
  <si>
    <t>ITEM DATA:</t>
  </si>
  <si>
    <t>MRP KEY CONCEPTS:</t>
  </si>
  <si>
    <t>Item</t>
  </si>
  <si>
    <t>On-Hand</t>
  </si>
  <si>
    <t>On-Order</t>
  </si>
  <si>
    <t>Lead Time</t>
  </si>
  <si>
    <t>Order Size</t>
  </si>
  <si>
    <t>1. Start from MPS (Master Production Schedule)</t>
  </si>
  <si>
    <t>A</t>
  </si>
  <si>
    <t>-</t>
  </si>
  <si>
    <t>1 wk</t>
  </si>
  <si>
    <t>Lot-for-Lot</t>
  </si>
  <si>
    <t>2. Explode level by level using BOM</t>
  </si>
  <si>
    <t>B</t>
  </si>
  <si>
    <t>10 (wk 1)</t>
  </si>
  <si>
    <t>3. Net Req = Gross - On Hand - Scheduled Receipts</t>
  </si>
  <si>
    <t>C</t>
  </si>
  <si>
    <t>50 (wk 1)</t>
  </si>
  <si>
    <t>&gt;=50</t>
  </si>
  <si>
    <t>4. Apply lot sizing rules to planned receipts</t>
  </si>
  <si>
    <t>D</t>
  </si>
  <si>
    <t>2 wks</t>
  </si>
  <si>
    <t>100</t>
  </si>
  <si>
    <t>5. Offset by lead time for planned releases</t>
  </si>
  <si>
    <t>E</t>
  </si>
  <si>
    <t>50</t>
  </si>
  <si>
    <t>LOT SIZING RULES:</t>
  </si>
  <si>
    <t>PRODUCT STRUCTURE: A -&gt; B(1) + C(2), B -&gt; D(1) + E(3), C -&gt; D(1) + E(1)</t>
  </si>
  <si>
    <t>L4L = order exactly what you need</t>
  </si>
  <si>
    <t>&gt;=50 = round up to minimum of 50</t>
  </si>
  <si>
    <t>Item A</t>
  </si>
  <si>
    <t>LT=1 wk</t>
  </si>
  <si>
    <t>Q=L4L</t>
  </si>
  <si>
    <t>100 = order in multiples of 100</t>
  </si>
  <si>
    <t>Beg Inv</t>
  </si>
  <si>
    <t>Wk1</t>
  </si>
  <si>
    <t>Wk2</t>
  </si>
  <si>
    <t>Wk3</t>
  </si>
  <si>
    <t>Wk4</t>
  </si>
  <si>
    <t>Wk5</t>
  </si>
  <si>
    <t>Wk6</t>
  </si>
  <si>
    <t>Wk7</t>
  </si>
  <si>
    <t>Wk8</t>
  </si>
  <si>
    <t>50 = order in multiples of 50</t>
  </si>
  <si>
    <t>Gross Requirements</t>
  </si>
  <si>
    <t>Scheduled Receipts</t>
  </si>
  <si>
    <t>Projected On-Hand</t>
  </si>
  <si>
    <t>Net Requirements</t>
  </si>
  <si>
    <t>Planned-Order Receipt</t>
  </si>
  <si>
    <t>Planned-Order Release</t>
  </si>
  <si>
    <t>Item B</t>
  </si>
  <si>
    <t>Item C</t>
  </si>
  <si>
    <t>Q=&gt;=50</t>
  </si>
  <si>
    <t>Item D</t>
  </si>
  <si>
    <t>LT=2 wks</t>
  </si>
  <si>
    <t>Q=100</t>
  </si>
  <si>
    <t>Item E</t>
  </si>
  <si>
    <t>Q=50</t>
  </si>
  <si>
    <t>ANSWER KEY:</t>
  </si>
  <si>
    <t>A: Planned releases</t>
  </si>
  <si>
    <t>Wk1: 10, Wk4: 30, Wk7: 40</t>
  </si>
  <si>
    <t>B: Planned releases</t>
  </si>
  <si>
    <t>Wk3: 30, Wk6: 40</t>
  </si>
  <si>
    <t>C: Planned releases</t>
  </si>
  <si>
    <t>Wk3: 50, Wk6: 50</t>
  </si>
  <si>
    <t>D: Planned releases</t>
  </si>
  <si>
    <t>Wk1: 100, Wk2: 100, Wk4: 100</t>
  </si>
  <si>
    <t>E: Planned releases</t>
  </si>
  <si>
    <t>Wk1: 150, Wk4: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</si>
</sst>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0.0"/>
    <numFmt numFmtId="165" formatCode="0.000"/>
    <numFmt numFmtId="166" formatCode="\$#,##0"/>
    <numFmt numFmtId="167" formatCode="\$#,##0.00"/>
    <numFmt numFmtId="168" formatCode="\$#,##0.000"/>
  </numFmts>
  <fonts count="9" x14ac:knownFonts="1">
    <font>
      <sz val="11"/>
      <color theme="1"/>
      <name val="Calibri"/>
      <family val="2"/>
      <charset val="1"/>
    </font>
    <font>
      <b/>
      <sz val="18"/>
      <color rgb="FF1F4E79"/>
      <name val="Arial"/>
      <family val="2"/>
    </font>
    <font>
      <b/>
      <sz val="12"/>
      <color rgb="FF2E75B6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rgb="FF1F4E79"/>
      <name val="Arial"/>
      <family val="2"/>
    </font>
    <font>
      <b/>
      <sz val="11"/>
      <color rgb="FFFFFFFF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AEEF3"/>
        <bgColor rgb="FFE2EFDA"/>
      </patternFill>
    </fill>
    <fill>
      <patternFill patternType="solid">
        <fgColor rgb="FFE2EFDA"/>
        <bgColor rgb="FFDAEEF3"/>
      </patternFill>
    </fill>
    <fill>
      <patternFill patternType="solid">
        <fgColor rgb="FFFFF2CC"/>
        <bgColor rgb="FFFCE4EC"/>
      </patternFill>
    </fill>
    <fill>
      <patternFill patternType="solid">
        <fgColor rgb="FFFCE4EC"/>
        <bgColor rgb="FFFFF2CC"/>
      </patternFill>
    </fill>
    <fill>
      <patternFill patternType="solid">
        <fgColor rgb="FF1F4E79"/>
        <bgColor rgb="FF00336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5" fillId="0" borderId="0" xfId="0" applyFont="1"/>
    <xf numFmtId="0" fontId="6" fillId="6" borderId="1" xfId="0" applyFont="1" applyFill="1" applyBorder="1" applyAlignment="1">
      <alignment horizontal="center" wrapText="1"/>
    </xf>
    <xf numFmtId="0" fontId="4" fillId="0" borderId="1" xfId="0" applyFont="1" applyBorder="1"/>
    <xf numFmtId="0" fontId="4" fillId="2" borderId="1" xfId="0" applyFont="1" applyFill="1" applyBorder="1"/>
    <xf numFmtId="0" fontId="0" fillId="0" borderId="1" xfId="0" applyBorder="1"/>
    <xf numFmtId="164" fontId="0" fillId="3" borderId="1" xfId="0" applyNumberFormat="1" applyFill="1" applyBorder="1"/>
    <xf numFmtId="2" fontId="3" fillId="5" borderId="0" xfId="0" applyNumberFormat="1" applyFont="1" applyFill="1"/>
    <xf numFmtId="164" fontId="0" fillId="2" borderId="1" xfId="0" applyNumberFormat="1" applyFill="1" applyBorder="1"/>
    <xf numFmtId="2" fontId="0" fillId="5" borderId="0" xfId="0" applyNumberFormat="1" applyFill="1"/>
    <xf numFmtId="164" fontId="0" fillId="2" borderId="0" xfId="0" applyNumberFormat="1" applyFill="1"/>
    <xf numFmtId="0" fontId="0" fillId="2" borderId="1" xfId="0" applyFill="1" applyBorder="1"/>
    <xf numFmtId="2" fontId="0" fillId="3" borderId="1" xfId="0" applyNumberFormat="1" applyFill="1" applyBorder="1"/>
    <xf numFmtId="0" fontId="0" fillId="3" borderId="1" xfId="0" applyFill="1" applyBorder="1"/>
    <xf numFmtId="0" fontId="3" fillId="3" borderId="1" xfId="0" applyFont="1" applyFill="1" applyBorder="1"/>
    <xf numFmtId="165" fontId="0" fillId="5" borderId="0" xfId="0" applyNumberFormat="1" applyFill="1"/>
    <xf numFmtId="10" fontId="0" fillId="3" borderId="1" xfId="0" applyNumberFormat="1" applyFill="1" applyBorder="1"/>
    <xf numFmtId="10" fontId="0" fillId="5" borderId="0" xfId="0" applyNumberFormat="1" applyFill="1"/>
    <xf numFmtId="9" fontId="0" fillId="2" borderId="1" xfId="0" applyNumberFormat="1" applyFill="1" applyBorder="1"/>
    <xf numFmtId="0" fontId="3" fillId="0" borderId="1" xfId="0" applyFont="1" applyBorder="1"/>
    <xf numFmtId="0" fontId="3" fillId="5" borderId="1" xfId="0" applyFont="1" applyFill="1" applyBorder="1"/>
    <xf numFmtId="166" fontId="0" fillId="3" borderId="1" xfId="0" applyNumberFormat="1" applyFill="1" applyBorder="1"/>
    <xf numFmtId="166" fontId="0" fillId="5" borderId="1" xfId="0" applyNumberFormat="1" applyFill="1" applyBorder="1"/>
    <xf numFmtId="166" fontId="7" fillId="5" borderId="0" xfId="0" applyNumberFormat="1" applyFont="1" applyFill="1"/>
    <xf numFmtId="2" fontId="3" fillId="5" borderId="1" xfId="0" applyNumberFormat="1" applyFont="1" applyFill="1" applyBorder="1"/>
    <xf numFmtId="167" fontId="0" fillId="2" borderId="1" xfId="0" applyNumberFormat="1" applyFill="1" applyBorder="1"/>
    <xf numFmtId="168" fontId="0" fillId="3" borderId="1" xfId="0" applyNumberFormat="1" applyFill="1" applyBorder="1"/>
    <xf numFmtId="3" fontId="0" fillId="3" borderId="1" xfId="0" applyNumberFormat="1" applyFill="1" applyBorder="1"/>
    <xf numFmtId="3" fontId="0" fillId="4" borderId="1" xfId="0" applyNumberFormat="1" applyFill="1" applyBorder="1"/>
    <xf numFmtId="0" fontId="7" fillId="0" borderId="0" xfId="0" applyFont="1"/>
    <xf numFmtId="0" fontId="3" fillId="5" borderId="0" xfId="0" applyFont="1" applyFill="1"/>
    <xf numFmtId="165" fontId="3" fillId="5" borderId="1" xfId="0" applyNumberFormat="1" applyFont="1" applyFill="1" applyBorder="1"/>
    <xf numFmtId="2" fontId="0" fillId="2" borderId="1" xfId="0" applyNumberFormat="1" applyFill="1" applyBorder="1"/>
    <xf numFmtId="0" fontId="8" fillId="0" borderId="0" xfId="0" applyFont="1"/>
    <xf numFmtId="0" fontId="4" fillId="5" borderId="0" xfId="0" applyFont="1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6B2585CB-F8EB-42CD-90E7-D0FA21082D44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EEF3"/>
      <rgbColor rgb="FF660066"/>
      <rgbColor rgb="FFFF8080"/>
      <rgbColor rgb="FF0066CC"/>
      <rgbColor rgb="FFFCE4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34"/>
  <sheetViews>
    <sheetView topLeftCell="A6" zoomScaleNormal="100" workbookViewId="0">
      <selection activeCell="D11" sqref="D11"/>
    </sheetView>
  </sheetViews>
  <sheetFormatPr defaultColWidth="8.6640625" defaultRowHeight="14.4" x14ac:dyDescent="0.3"/>
  <cols>
    <col min="1" max="1" width="5" customWidth="1"/>
    <col min="2" max="2" width="55" customWidth="1"/>
    <col min="3" max="3" width="45" customWidth="1"/>
  </cols>
  <sheetData>
    <row r="1" spans="2:3" ht="21.75" customHeight="1" x14ac:dyDescent="0.4">
      <c r="B1" s="1" t="s">
        <v>0</v>
      </c>
    </row>
    <row r="2" spans="2:3" ht="15" customHeight="1" x14ac:dyDescent="0.3">
      <c r="B2" s="2" t="s">
        <v>1</v>
      </c>
    </row>
    <row r="4" spans="2:3" ht="15" customHeight="1" x14ac:dyDescent="0.3">
      <c r="B4" s="3" t="s">
        <v>2</v>
      </c>
    </row>
    <row r="6" spans="2:3" ht="15" customHeight="1" x14ac:dyDescent="0.3">
      <c r="B6" s="3" t="s">
        <v>3</v>
      </c>
      <c r="C6" s="4"/>
    </row>
    <row r="7" spans="2:3" ht="15" customHeight="1" x14ac:dyDescent="0.3">
      <c r="B7" s="4" t="s">
        <v>4</v>
      </c>
      <c r="C7" s="4" t="s">
        <v>5</v>
      </c>
    </row>
    <row r="8" spans="2:3" ht="15" customHeight="1" x14ac:dyDescent="0.3">
      <c r="B8" s="4" t="s">
        <v>6</v>
      </c>
      <c r="C8" s="4" t="s">
        <v>7</v>
      </c>
    </row>
    <row r="9" spans="2:3" ht="15" customHeight="1" x14ac:dyDescent="0.3">
      <c r="B9" s="4" t="s">
        <v>8</v>
      </c>
      <c r="C9" s="4" t="s">
        <v>9</v>
      </c>
    </row>
    <row r="10" spans="2:3" ht="15" customHeight="1" x14ac:dyDescent="0.3">
      <c r="B10" s="4" t="s">
        <v>10</v>
      </c>
      <c r="C10" s="4" t="s">
        <v>11</v>
      </c>
    </row>
    <row r="11" spans="2:3" ht="15" customHeight="1" x14ac:dyDescent="0.3">
      <c r="B11" s="4" t="s">
        <v>12</v>
      </c>
      <c r="C11" s="4" t="s">
        <v>13</v>
      </c>
    </row>
    <row r="13" spans="2:3" ht="15" customHeight="1" x14ac:dyDescent="0.3">
      <c r="B13" s="3" t="s">
        <v>14</v>
      </c>
      <c r="C13" s="4"/>
    </row>
    <row r="14" spans="2:3" ht="15" customHeight="1" x14ac:dyDescent="0.3">
      <c r="B14" s="4" t="s">
        <v>15</v>
      </c>
      <c r="C14" s="4" t="s">
        <v>16</v>
      </c>
    </row>
    <row r="15" spans="2:3" ht="15" customHeight="1" x14ac:dyDescent="0.3">
      <c r="B15" s="4" t="s">
        <v>17</v>
      </c>
      <c r="C15" s="4" t="s">
        <v>18</v>
      </c>
    </row>
    <row r="16" spans="2:3" ht="15" customHeight="1" x14ac:dyDescent="0.3">
      <c r="B16" s="4" t="s">
        <v>19</v>
      </c>
      <c r="C16" s="4" t="s">
        <v>20</v>
      </c>
    </row>
    <row r="17" spans="2:3" ht="15" customHeight="1" x14ac:dyDescent="0.3">
      <c r="B17" s="4" t="s">
        <v>21</v>
      </c>
      <c r="C17" s="4" t="s">
        <v>22</v>
      </c>
    </row>
    <row r="18" spans="2:3" ht="15" customHeight="1" x14ac:dyDescent="0.3">
      <c r="B18" s="4" t="s">
        <v>23</v>
      </c>
      <c r="C18" s="4" t="s">
        <v>24</v>
      </c>
    </row>
    <row r="20" spans="2:3" ht="15" customHeight="1" x14ac:dyDescent="0.3">
      <c r="B20" s="3" t="s">
        <v>25</v>
      </c>
      <c r="C20" s="4"/>
    </row>
    <row r="21" spans="2:3" ht="15" customHeight="1" x14ac:dyDescent="0.3">
      <c r="B21" s="4" t="s">
        <v>26</v>
      </c>
      <c r="C21" s="4" t="s">
        <v>27</v>
      </c>
    </row>
    <row r="22" spans="2:3" ht="15" customHeight="1" x14ac:dyDescent="0.3">
      <c r="B22" s="4" t="s">
        <v>28</v>
      </c>
      <c r="C22" s="4" t="s">
        <v>29</v>
      </c>
    </row>
    <row r="23" spans="2:3" ht="15" customHeight="1" x14ac:dyDescent="0.3">
      <c r="B23" s="4" t="s">
        <v>30</v>
      </c>
      <c r="C23" s="4" t="s">
        <v>31</v>
      </c>
    </row>
    <row r="24" spans="2:3" ht="15" customHeight="1" x14ac:dyDescent="0.3">
      <c r="B24" s="4" t="s">
        <v>32</v>
      </c>
      <c r="C24" s="4" t="s">
        <v>33</v>
      </c>
    </row>
    <row r="25" spans="2:3" ht="15" customHeight="1" x14ac:dyDescent="0.3">
      <c r="B25" s="4" t="s">
        <v>34</v>
      </c>
      <c r="C25" s="4" t="s">
        <v>35</v>
      </c>
    </row>
    <row r="27" spans="2:3" ht="15" customHeight="1" x14ac:dyDescent="0.3">
      <c r="B27" s="3" t="s">
        <v>36</v>
      </c>
      <c r="C27" s="4"/>
    </row>
    <row r="28" spans="2:3" ht="15" customHeight="1" x14ac:dyDescent="0.3">
      <c r="B28" s="4" t="s">
        <v>37</v>
      </c>
      <c r="C28" s="4" t="s">
        <v>38</v>
      </c>
    </row>
    <row r="30" spans="2:3" ht="15" customHeight="1" x14ac:dyDescent="0.3">
      <c r="B30" s="3" t="s">
        <v>39</v>
      </c>
    </row>
    <row r="31" spans="2:3" ht="15" customHeight="1" x14ac:dyDescent="0.3">
      <c r="B31" s="4" t="s">
        <v>40</v>
      </c>
      <c r="C31" s="5"/>
    </row>
    <row r="32" spans="2:3" ht="15" customHeight="1" x14ac:dyDescent="0.3">
      <c r="B32" s="4" t="s">
        <v>41</v>
      </c>
      <c r="C32" s="6"/>
    </row>
    <row r="33" spans="2:3" ht="15" customHeight="1" x14ac:dyDescent="0.3">
      <c r="B33" s="4" t="s">
        <v>42</v>
      </c>
      <c r="C33" s="7"/>
    </row>
    <row r="34" spans="2:3" ht="15" customHeight="1" x14ac:dyDescent="0.3">
      <c r="B34" s="4" t="s">
        <v>43</v>
      </c>
      <c r="C34" s="8"/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6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18" customWidth="1"/>
    <col min="3" max="3" width="14" customWidth="1"/>
    <col min="4" max="4" width="16" customWidth="1"/>
    <col min="5" max="5" width="14" customWidth="1"/>
    <col min="6" max="6" width="3" customWidth="1"/>
    <col min="7" max="7" width="45" customWidth="1"/>
  </cols>
  <sheetData>
    <row r="1" spans="2:7" ht="17.25" customHeight="1" x14ac:dyDescent="0.3">
      <c r="B1" s="9" t="s">
        <v>44</v>
      </c>
    </row>
    <row r="2" spans="2:7" ht="15" customHeight="1" x14ac:dyDescent="0.3">
      <c r="B2" s="2" t="s">
        <v>45</v>
      </c>
    </row>
    <row r="4" spans="2:7" ht="15" customHeight="1" x14ac:dyDescent="0.3">
      <c r="B4" s="10" t="s">
        <v>46</v>
      </c>
      <c r="C4" s="10" t="s">
        <v>47</v>
      </c>
      <c r="D4" s="10" t="s">
        <v>48</v>
      </c>
      <c r="E4" s="10" t="s">
        <v>49</v>
      </c>
      <c r="G4" s="4" t="s">
        <v>50</v>
      </c>
    </row>
    <row r="5" spans="2:7" ht="15" customHeight="1" x14ac:dyDescent="0.3">
      <c r="B5" s="11" t="s">
        <v>51</v>
      </c>
      <c r="C5" s="12">
        <v>120</v>
      </c>
      <c r="D5" s="13"/>
      <c r="E5" s="13"/>
      <c r="G5" s="4" t="s">
        <v>52</v>
      </c>
    </row>
    <row r="6" spans="2:7" ht="15" customHeight="1" x14ac:dyDescent="0.3">
      <c r="B6" s="11" t="s">
        <v>53</v>
      </c>
      <c r="C6" s="12">
        <v>135</v>
      </c>
      <c r="D6" s="13"/>
      <c r="E6" s="13"/>
      <c r="G6" s="4" t="s">
        <v>54</v>
      </c>
    </row>
    <row r="7" spans="2:7" ht="15" customHeight="1" x14ac:dyDescent="0.3">
      <c r="B7" s="11" t="s">
        <v>55</v>
      </c>
      <c r="C7" s="12">
        <v>110</v>
      </c>
      <c r="D7" s="13"/>
      <c r="E7" s="13"/>
      <c r="G7" s="4" t="s">
        <v>56</v>
      </c>
    </row>
    <row r="8" spans="2:7" ht="15" customHeight="1" x14ac:dyDescent="0.3">
      <c r="B8" s="11" t="s">
        <v>57</v>
      </c>
      <c r="C8" s="12">
        <v>125</v>
      </c>
      <c r="D8" s="14">
        <f t="shared" ref="D8:D14" si="0">AVERAGE(C5:C7)</f>
        <v>121.66666666666667</v>
      </c>
      <c r="E8" s="14">
        <f t="shared" ref="E8:E14" si="1">ABS(C8-D8)</f>
        <v>3.3333333333333286</v>
      </c>
      <c r="G8" s="4"/>
    </row>
    <row r="9" spans="2:7" ht="15" customHeight="1" x14ac:dyDescent="0.3">
      <c r="B9" s="11" t="s">
        <v>58</v>
      </c>
      <c r="C9" s="12">
        <v>140</v>
      </c>
      <c r="D9" s="14">
        <f t="shared" si="0"/>
        <v>123.33333333333333</v>
      </c>
      <c r="E9" s="14">
        <f t="shared" si="1"/>
        <v>16.666666666666671</v>
      </c>
      <c r="G9" s="4" t="s">
        <v>59</v>
      </c>
    </row>
    <row r="10" spans="2:7" ht="15" customHeight="1" x14ac:dyDescent="0.3">
      <c r="B10" s="11" t="s">
        <v>60</v>
      </c>
      <c r="C10" s="12">
        <v>160</v>
      </c>
      <c r="D10" s="14">
        <f t="shared" si="0"/>
        <v>125</v>
      </c>
      <c r="E10" s="14">
        <f t="shared" si="1"/>
        <v>35</v>
      </c>
      <c r="G10" s="4" t="s">
        <v>61</v>
      </c>
    </row>
    <row r="11" spans="2:7" ht="15" customHeight="1" x14ac:dyDescent="0.3">
      <c r="B11" s="11" t="s">
        <v>62</v>
      </c>
      <c r="C11" s="12">
        <v>130</v>
      </c>
      <c r="D11" s="14">
        <f t="shared" si="0"/>
        <v>141.66666666666666</v>
      </c>
      <c r="E11" s="14">
        <f t="shared" si="1"/>
        <v>11.666666666666657</v>
      </c>
    </row>
    <row r="12" spans="2:7" ht="15" customHeight="1" x14ac:dyDescent="0.3">
      <c r="B12" s="11" t="s">
        <v>63</v>
      </c>
      <c r="C12" s="12">
        <v>145</v>
      </c>
      <c r="D12" s="14">
        <f t="shared" si="0"/>
        <v>143.33333333333334</v>
      </c>
      <c r="E12" s="14">
        <f t="shared" si="1"/>
        <v>1.6666666666666572</v>
      </c>
    </row>
    <row r="13" spans="2:7" ht="15" customHeight="1" x14ac:dyDescent="0.3">
      <c r="B13" s="11" t="s">
        <v>64</v>
      </c>
      <c r="C13" s="12">
        <v>150</v>
      </c>
      <c r="D13" s="14">
        <f t="shared" si="0"/>
        <v>145</v>
      </c>
      <c r="E13" s="14">
        <f t="shared" si="1"/>
        <v>5</v>
      </c>
    </row>
    <row r="14" spans="2:7" ht="15" customHeight="1" x14ac:dyDescent="0.3">
      <c r="B14" s="11" t="s">
        <v>65</v>
      </c>
      <c r="C14" s="12">
        <v>135</v>
      </c>
      <c r="D14" s="14">
        <f t="shared" si="0"/>
        <v>141.66666666666666</v>
      </c>
      <c r="E14" s="14">
        <f t="shared" si="1"/>
        <v>6.6666666666666572</v>
      </c>
    </row>
    <row r="16" spans="2:7" ht="15" customHeight="1" x14ac:dyDescent="0.3">
      <c r="B16" s="3" t="s">
        <v>66</v>
      </c>
      <c r="D16" s="15">
        <f>AVERAGE(E8:E14)</f>
        <v>11.428571428571425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19"/>
  <sheetViews>
    <sheetView zoomScaleNormal="100" workbookViewId="0">
      <selection activeCell="E23" sqref="E23"/>
    </sheetView>
  </sheetViews>
  <sheetFormatPr defaultColWidth="8.6640625" defaultRowHeight="14.4" x14ac:dyDescent="0.3"/>
  <cols>
    <col min="1" max="1" width="3" customWidth="1"/>
    <col min="2" max="2" width="18" customWidth="1"/>
    <col min="3" max="3" width="14" customWidth="1"/>
    <col min="4" max="6" width="12" customWidth="1"/>
    <col min="7" max="7" width="16" customWidth="1"/>
    <col min="8" max="8" width="14" customWidth="1"/>
    <col min="9" max="9" width="3" customWidth="1"/>
    <col min="10" max="10" width="45" customWidth="1"/>
  </cols>
  <sheetData>
    <row r="1" spans="2:10" ht="17.25" customHeight="1" x14ac:dyDescent="0.3">
      <c r="B1" s="9" t="s">
        <v>67</v>
      </c>
    </row>
    <row r="2" spans="2:10" ht="15" customHeight="1" x14ac:dyDescent="0.3">
      <c r="B2" s="2" t="s">
        <v>68</v>
      </c>
    </row>
    <row r="4" spans="2:10" ht="15" customHeight="1" x14ac:dyDescent="0.3">
      <c r="B4" s="3" t="s">
        <v>69</v>
      </c>
      <c r="C4" t="s">
        <v>70</v>
      </c>
      <c r="D4" t="s">
        <v>71</v>
      </c>
      <c r="E4" t="s">
        <v>72</v>
      </c>
    </row>
    <row r="5" spans="2:10" ht="15" customHeight="1" x14ac:dyDescent="0.3">
      <c r="C5" s="16">
        <v>0.5</v>
      </c>
      <c r="D5" s="16">
        <v>0.3</v>
      </c>
      <c r="E5" s="16">
        <v>0.2</v>
      </c>
    </row>
    <row r="7" spans="2:10" ht="15" customHeight="1" x14ac:dyDescent="0.3">
      <c r="B7" s="10" t="s">
        <v>73</v>
      </c>
      <c r="C7" s="10" t="s">
        <v>74</v>
      </c>
      <c r="D7" s="10" t="s">
        <v>75</v>
      </c>
      <c r="E7" s="10" t="s">
        <v>76</v>
      </c>
      <c r="F7" s="10" t="s">
        <v>77</v>
      </c>
      <c r="G7" s="10" t="s">
        <v>78</v>
      </c>
      <c r="H7" s="10" t="s">
        <v>79</v>
      </c>
      <c r="J7" s="4" t="s">
        <v>80</v>
      </c>
    </row>
    <row r="8" spans="2:10" ht="15" customHeight="1" x14ac:dyDescent="0.3">
      <c r="B8" s="11" t="s">
        <v>81</v>
      </c>
      <c r="C8" s="12">
        <v>200</v>
      </c>
      <c r="D8" s="13"/>
      <c r="E8" s="13"/>
      <c r="F8" s="13"/>
      <c r="G8" s="13"/>
      <c r="H8" s="13"/>
      <c r="J8" s="4" t="s">
        <v>82</v>
      </c>
    </row>
    <row r="9" spans="2:10" ht="15" customHeight="1" x14ac:dyDescent="0.3">
      <c r="B9" s="11" t="s">
        <v>83</v>
      </c>
      <c r="C9" s="12">
        <v>220</v>
      </c>
      <c r="D9" s="13"/>
      <c r="E9" s="13"/>
      <c r="F9" s="13"/>
      <c r="G9" s="13"/>
      <c r="H9" s="13"/>
      <c r="J9" s="4" t="s">
        <v>84</v>
      </c>
    </row>
    <row r="10" spans="2:10" ht="15" customHeight="1" x14ac:dyDescent="0.3">
      <c r="B10" s="11" t="s">
        <v>85</v>
      </c>
      <c r="C10" s="12">
        <v>180</v>
      </c>
      <c r="D10" s="13"/>
      <c r="E10" s="13"/>
      <c r="F10" s="13"/>
      <c r="G10" s="13"/>
      <c r="H10" s="13"/>
      <c r="J10" s="4" t="s">
        <v>86</v>
      </c>
    </row>
    <row r="11" spans="2:10" ht="15" customHeight="1" x14ac:dyDescent="0.3">
      <c r="B11" s="11" t="s">
        <v>87</v>
      </c>
      <c r="C11" s="12">
        <v>210</v>
      </c>
      <c r="D11" s="14">
        <f t="shared" ref="D11:D17" si="0">$C$5*C10</f>
        <v>90</v>
      </c>
      <c r="E11" s="14">
        <f t="shared" ref="E11:E17" si="1">$D$5*C9</f>
        <v>66</v>
      </c>
      <c r="F11" s="14">
        <f t="shared" ref="F11:F17" si="2">$E$5*C8</f>
        <v>40</v>
      </c>
      <c r="G11" s="14">
        <f t="shared" ref="G11:G17" si="3">D11+E11+F11</f>
        <v>196</v>
      </c>
      <c r="H11" s="14">
        <f t="shared" ref="H11:H17" si="4">ABS(C11-G11)</f>
        <v>14</v>
      </c>
      <c r="J11" s="4" t="s">
        <v>88</v>
      </c>
    </row>
    <row r="12" spans="2:10" ht="15" customHeight="1" x14ac:dyDescent="0.3">
      <c r="B12" s="11" t="s">
        <v>89</v>
      </c>
      <c r="C12" s="12">
        <v>230</v>
      </c>
      <c r="D12" s="14">
        <f t="shared" si="0"/>
        <v>105</v>
      </c>
      <c r="E12" s="14">
        <f t="shared" si="1"/>
        <v>54</v>
      </c>
      <c r="F12" s="14">
        <f t="shared" si="2"/>
        <v>44</v>
      </c>
      <c r="G12" s="14">
        <f t="shared" si="3"/>
        <v>203</v>
      </c>
      <c r="H12" s="14">
        <f t="shared" si="4"/>
        <v>27</v>
      </c>
    </row>
    <row r="13" spans="2:10" ht="15" customHeight="1" x14ac:dyDescent="0.3">
      <c r="B13" s="11" t="s">
        <v>90</v>
      </c>
      <c r="C13" s="12">
        <v>250</v>
      </c>
      <c r="D13" s="14">
        <f t="shared" si="0"/>
        <v>115</v>
      </c>
      <c r="E13" s="14">
        <f t="shared" si="1"/>
        <v>63</v>
      </c>
      <c r="F13" s="14">
        <f t="shared" si="2"/>
        <v>36</v>
      </c>
      <c r="G13" s="14">
        <f t="shared" si="3"/>
        <v>214</v>
      </c>
      <c r="H13" s="14">
        <f t="shared" si="4"/>
        <v>36</v>
      </c>
    </row>
    <row r="14" spans="2:10" ht="15" customHeight="1" x14ac:dyDescent="0.3">
      <c r="B14" s="11" t="s">
        <v>91</v>
      </c>
      <c r="C14" s="12">
        <v>215</v>
      </c>
      <c r="D14" s="14">
        <f t="shared" si="0"/>
        <v>125</v>
      </c>
      <c r="E14" s="14">
        <f t="shared" si="1"/>
        <v>69</v>
      </c>
      <c r="F14" s="14">
        <f t="shared" si="2"/>
        <v>42</v>
      </c>
      <c r="G14" s="14">
        <f t="shared" si="3"/>
        <v>236</v>
      </c>
      <c r="H14" s="14">
        <f t="shared" si="4"/>
        <v>21</v>
      </c>
    </row>
    <row r="15" spans="2:10" ht="15" customHeight="1" x14ac:dyDescent="0.3">
      <c r="B15" s="11" t="s">
        <v>92</v>
      </c>
      <c r="C15" s="12">
        <v>240</v>
      </c>
      <c r="D15" s="14">
        <f t="shared" si="0"/>
        <v>107.5</v>
      </c>
      <c r="E15" s="14">
        <f t="shared" si="1"/>
        <v>75</v>
      </c>
      <c r="F15" s="14">
        <f t="shared" si="2"/>
        <v>46</v>
      </c>
      <c r="G15" s="14">
        <f t="shared" si="3"/>
        <v>228.5</v>
      </c>
      <c r="H15" s="14">
        <f t="shared" si="4"/>
        <v>11.5</v>
      </c>
    </row>
    <row r="16" spans="2:10" ht="15" customHeight="1" x14ac:dyDescent="0.3">
      <c r="B16" s="11" t="s">
        <v>93</v>
      </c>
      <c r="C16" s="12">
        <v>225</v>
      </c>
      <c r="D16" s="14">
        <f t="shared" si="0"/>
        <v>120</v>
      </c>
      <c r="E16" s="14">
        <f t="shared" si="1"/>
        <v>64.5</v>
      </c>
      <c r="F16" s="14">
        <f t="shared" si="2"/>
        <v>50</v>
      </c>
      <c r="G16" s="14">
        <f t="shared" si="3"/>
        <v>234.5</v>
      </c>
      <c r="H16" s="14">
        <f t="shared" si="4"/>
        <v>9.5</v>
      </c>
    </row>
    <row r="17" spans="2:8" ht="15" customHeight="1" x14ac:dyDescent="0.3">
      <c r="B17" s="11" t="s">
        <v>94</v>
      </c>
      <c r="C17" s="12">
        <v>235</v>
      </c>
      <c r="D17" s="14">
        <f t="shared" si="0"/>
        <v>112.5</v>
      </c>
      <c r="E17" s="14">
        <f t="shared" si="1"/>
        <v>72</v>
      </c>
      <c r="F17" s="14">
        <f t="shared" si="2"/>
        <v>43</v>
      </c>
      <c r="G17" s="14">
        <f t="shared" si="3"/>
        <v>227.5</v>
      </c>
      <c r="H17" s="14">
        <f t="shared" si="4"/>
        <v>7.5</v>
      </c>
    </row>
    <row r="19" spans="2:8" ht="15" customHeight="1" x14ac:dyDescent="0.3">
      <c r="B19" s="3" t="s">
        <v>66</v>
      </c>
      <c r="G19" s="17">
        <f>AVERAGE(H11:H17)</f>
        <v>18.071428571428573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18"/>
  <sheetViews>
    <sheetView zoomScaleNormal="100" workbookViewId="0">
      <selection activeCell="G24" sqref="G24"/>
    </sheetView>
  </sheetViews>
  <sheetFormatPr defaultColWidth="8.6640625" defaultRowHeight="14.4" x14ac:dyDescent="0.3"/>
  <cols>
    <col min="1" max="1" width="3" customWidth="1"/>
    <col min="2" max="2" width="18" customWidth="1"/>
    <col min="3" max="3" width="14" customWidth="1"/>
    <col min="4" max="4" width="16" customWidth="1"/>
    <col min="5" max="5" width="14" customWidth="1"/>
    <col min="6" max="6" width="3" customWidth="1"/>
    <col min="7" max="7" width="50" customWidth="1"/>
  </cols>
  <sheetData>
    <row r="1" spans="2:7" ht="17.25" customHeight="1" x14ac:dyDescent="0.3">
      <c r="B1" s="9" t="s">
        <v>95</v>
      </c>
    </row>
    <row r="2" spans="2:7" ht="15" customHeight="1" x14ac:dyDescent="0.3">
      <c r="B2" s="2" t="s">
        <v>96</v>
      </c>
    </row>
    <row r="4" spans="2:7" ht="15" customHeight="1" x14ac:dyDescent="0.3">
      <c r="B4" s="3" t="s">
        <v>97</v>
      </c>
      <c r="D4" s="18">
        <v>0.3</v>
      </c>
    </row>
    <row r="6" spans="2:7" ht="15" customHeight="1" x14ac:dyDescent="0.3">
      <c r="B6" s="10" t="s">
        <v>46</v>
      </c>
      <c r="C6" s="10" t="s">
        <v>98</v>
      </c>
      <c r="D6" s="10" t="s">
        <v>99</v>
      </c>
      <c r="E6" s="10" t="s">
        <v>49</v>
      </c>
      <c r="G6" s="4" t="s">
        <v>100</v>
      </c>
    </row>
    <row r="7" spans="2:7" ht="15" customHeight="1" x14ac:dyDescent="0.3">
      <c r="B7" s="11" t="s">
        <v>101</v>
      </c>
      <c r="C7" s="12">
        <v>50</v>
      </c>
      <c r="D7" s="19">
        <v>50</v>
      </c>
      <c r="E7" s="20">
        <f t="shared" ref="E7:E16" si="0">ABS(C7-D7)</f>
        <v>0</v>
      </c>
      <c r="G7" s="4" t="s">
        <v>102</v>
      </c>
    </row>
    <row r="8" spans="2:7" ht="15" customHeight="1" x14ac:dyDescent="0.3">
      <c r="B8" s="11" t="s">
        <v>103</v>
      </c>
      <c r="C8" s="12">
        <v>52</v>
      </c>
      <c r="D8" s="20">
        <f t="shared" ref="D8:D16" si="1">D7+$D$4*(C7-D7)</f>
        <v>50</v>
      </c>
      <c r="E8" s="20">
        <f t="shared" si="0"/>
        <v>2</v>
      </c>
      <c r="G8" s="4" t="s">
        <v>104</v>
      </c>
    </row>
    <row r="9" spans="2:7" ht="15" customHeight="1" x14ac:dyDescent="0.3">
      <c r="B9" s="11" t="s">
        <v>105</v>
      </c>
      <c r="C9" s="12">
        <v>48</v>
      </c>
      <c r="D9" s="20">
        <f t="shared" si="1"/>
        <v>50.6</v>
      </c>
      <c r="E9" s="20">
        <f t="shared" si="0"/>
        <v>2.6000000000000014</v>
      </c>
      <c r="G9" s="4"/>
    </row>
    <row r="10" spans="2:7" ht="15" customHeight="1" x14ac:dyDescent="0.3">
      <c r="B10" s="11" t="s">
        <v>106</v>
      </c>
      <c r="C10" s="12">
        <v>55</v>
      </c>
      <c r="D10" s="20">
        <f t="shared" si="1"/>
        <v>49.82</v>
      </c>
      <c r="E10" s="20">
        <f t="shared" si="0"/>
        <v>5.18</v>
      </c>
      <c r="G10" s="4" t="s">
        <v>107</v>
      </c>
    </row>
    <row r="11" spans="2:7" ht="15" customHeight="1" x14ac:dyDescent="0.3">
      <c r="B11" s="11" t="s">
        <v>108</v>
      </c>
      <c r="C11" s="12">
        <v>53</v>
      </c>
      <c r="D11" s="20">
        <f t="shared" si="1"/>
        <v>51.374000000000002</v>
      </c>
      <c r="E11" s="20">
        <f t="shared" si="0"/>
        <v>1.6259999999999977</v>
      </c>
      <c r="G11" s="4" t="s">
        <v>109</v>
      </c>
    </row>
    <row r="12" spans="2:7" ht="15" customHeight="1" x14ac:dyDescent="0.3">
      <c r="B12" s="11" t="s">
        <v>110</v>
      </c>
      <c r="C12" s="12">
        <v>60</v>
      </c>
      <c r="D12" s="20">
        <f t="shared" si="1"/>
        <v>51.861800000000002</v>
      </c>
      <c r="E12" s="20">
        <f t="shared" si="0"/>
        <v>8.1381999999999977</v>
      </c>
      <c r="G12" s="4" t="s">
        <v>111</v>
      </c>
    </row>
    <row r="13" spans="2:7" ht="15" customHeight="1" x14ac:dyDescent="0.3">
      <c r="B13" s="11" t="s">
        <v>112</v>
      </c>
      <c r="C13" s="12">
        <v>58</v>
      </c>
      <c r="D13" s="20">
        <f t="shared" si="1"/>
        <v>54.303260000000002</v>
      </c>
      <c r="E13" s="20">
        <f t="shared" si="0"/>
        <v>3.6967399999999984</v>
      </c>
    </row>
    <row r="14" spans="2:7" ht="15" customHeight="1" x14ac:dyDescent="0.3">
      <c r="B14" s="11" t="s">
        <v>113</v>
      </c>
      <c r="C14" s="12">
        <v>62</v>
      </c>
      <c r="D14" s="20">
        <f t="shared" si="1"/>
        <v>55.412282000000005</v>
      </c>
      <c r="E14" s="20">
        <f t="shared" si="0"/>
        <v>6.5877179999999953</v>
      </c>
    </row>
    <row r="15" spans="2:7" ht="15" customHeight="1" x14ac:dyDescent="0.3">
      <c r="B15" s="11" t="s">
        <v>114</v>
      </c>
      <c r="C15" s="12">
        <v>56</v>
      </c>
      <c r="D15" s="20">
        <f t="shared" si="1"/>
        <v>57.388597400000002</v>
      </c>
      <c r="E15" s="20">
        <f t="shared" si="0"/>
        <v>1.3885974000000019</v>
      </c>
    </row>
    <row r="16" spans="2:7" ht="15" customHeight="1" x14ac:dyDescent="0.3">
      <c r="B16" s="11" t="s">
        <v>115</v>
      </c>
      <c r="C16" s="12">
        <v>59</v>
      </c>
      <c r="D16" s="20">
        <f t="shared" si="1"/>
        <v>56.972018179999999</v>
      </c>
      <c r="E16" s="20">
        <f t="shared" si="0"/>
        <v>2.0279818200000008</v>
      </c>
    </row>
    <row r="18" spans="2:4" ht="15" customHeight="1" x14ac:dyDescent="0.3">
      <c r="B18" s="3" t="s">
        <v>66</v>
      </c>
      <c r="D18" s="17">
        <f>AVERAGE(E7:E16)</f>
        <v>3.3245237219999995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H18"/>
  <sheetViews>
    <sheetView tabSelected="1" zoomScaleNormal="100" workbookViewId="0">
      <selection activeCell="H26" sqref="H26"/>
    </sheetView>
  </sheetViews>
  <sheetFormatPr defaultColWidth="8.6640625" defaultRowHeight="14.4" x14ac:dyDescent="0.3"/>
  <cols>
    <col min="1" max="1" width="3" customWidth="1"/>
    <col min="2" max="2" width="18" customWidth="1"/>
    <col min="3" max="5" width="14" customWidth="1"/>
    <col min="6" max="6" width="16" customWidth="1"/>
    <col min="7" max="7" width="3" customWidth="1"/>
    <col min="8" max="8" width="45" customWidth="1"/>
  </cols>
  <sheetData>
    <row r="1" spans="2:8" ht="17.25" customHeight="1" x14ac:dyDescent="0.3">
      <c r="B1" s="9" t="s">
        <v>116</v>
      </c>
    </row>
    <row r="2" spans="2:8" ht="15" customHeight="1" x14ac:dyDescent="0.3">
      <c r="B2" s="2" t="s">
        <v>117</v>
      </c>
    </row>
    <row r="4" spans="2:8" ht="15" customHeight="1" x14ac:dyDescent="0.3">
      <c r="B4" s="10" t="s">
        <v>118</v>
      </c>
      <c r="C4" s="10" t="s">
        <v>119</v>
      </c>
      <c r="D4" s="10" t="s">
        <v>120</v>
      </c>
      <c r="E4" s="10" t="s">
        <v>121</v>
      </c>
      <c r="F4" s="10" t="s">
        <v>122</v>
      </c>
      <c r="H4" s="4" t="s">
        <v>123</v>
      </c>
    </row>
    <row r="5" spans="2:8" ht="15" customHeight="1" x14ac:dyDescent="0.3">
      <c r="B5" s="12">
        <v>1</v>
      </c>
      <c r="C5" s="12">
        <v>40</v>
      </c>
      <c r="D5" s="21">
        <f t="shared" ref="D5:D10" si="0">B5*C5</f>
        <v>40</v>
      </c>
      <c r="E5" s="21">
        <f t="shared" ref="E5:E10" si="1">B5^2</f>
        <v>1</v>
      </c>
      <c r="F5" s="14">
        <f t="shared" ref="F5:F10" si="2">$C$15+$C$14*B5</f>
        <v>40.571428571428577</v>
      </c>
      <c r="H5" s="4" t="s">
        <v>124</v>
      </c>
    </row>
    <row r="6" spans="2:8" ht="15" customHeight="1" x14ac:dyDescent="0.3">
      <c r="B6" s="12">
        <v>2</v>
      </c>
      <c r="C6" s="12">
        <v>44</v>
      </c>
      <c r="D6" s="21">
        <f t="shared" si="0"/>
        <v>88</v>
      </c>
      <c r="E6" s="21">
        <f t="shared" si="1"/>
        <v>4</v>
      </c>
      <c r="F6" s="14">
        <f t="shared" si="2"/>
        <v>42.342857142857149</v>
      </c>
      <c r="H6" s="4" t="s">
        <v>125</v>
      </c>
    </row>
    <row r="7" spans="2:8" ht="15" customHeight="1" x14ac:dyDescent="0.3">
      <c r="B7" s="12">
        <v>3</v>
      </c>
      <c r="C7" s="12">
        <v>42</v>
      </c>
      <c r="D7" s="21">
        <f t="shared" si="0"/>
        <v>126</v>
      </c>
      <c r="E7" s="21">
        <f t="shared" si="1"/>
        <v>9</v>
      </c>
      <c r="F7" s="14">
        <f t="shared" si="2"/>
        <v>44.114285714285721</v>
      </c>
      <c r="H7" s="4"/>
    </row>
    <row r="8" spans="2:8" ht="15" customHeight="1" x14ac:dyDescent="0.3">
      <c r="B8" s="12">
        <v>4</v>
      </c>
      <c r="C8" s="12">
        <v>48</v>
      </c>
      <c r="D8" s="21">
        <f t="shared" si="0"/>
        <v>192</v>
      </c>
      <c r="E8" s="21">
        <f t="shared" si="1"/>
        <v>16</v>
      </c>
      <c r="F8" s="14">
        <f t="shared" si="2"/>
        <v>45.885714285714286</v>
      </c>
      <c r="H8" s="4" t="s">
        <v>126</v>
      </c>
    </row>
    <row r="9" spans="2:8" ht="15" customHeight="1" x14ac:dyDescent="0.3">
      <c r="B9" s="12">
        <v>5</v>
      </c>
      <c r="C9" s="12">
        <v>46</v>
      </c>
      <c r="D9" s="21">
        <f t="shared" si="0"/>
        <v>230</v>
      </c>
      <c r="E9" s="21">
        <f t="shared" si="1"/>
        <v>25</v>
      </c>
      <c r="F9" s="14">
        <f t="shared" si="2"/>
        <v>47.657142857142858</v>
      </c>
    </row>
    <row r="10" spans="2:8" ht="15" customHeight="1" x14ac:dyDescent="0.3">
      <c r="B10" s="12">
        <v>6</v>
      </c>
      <c r="C10" s="12">
        <v>50</v>
      </c>
      <c r="D10" s="21">
        <f t="shared" si="0"/>
        <v>300</v>
      </c>
      <c r="E10" s="21">
        <f t="shared" si="1"/>
        <v>36</v>
      </c>
      <c r="F10" s="14">
        <f t="shared" si="2"/>
        <v>49.428571428571431</v>
      </c>
    </row>
    <row r="11" spans="2:8" ht="15" customHeight="1" x14ac:dyDescent="0.3">
      <c r="B11" s="22">
        <f>SUM(B5:B10)</f>
        <v>21</v>
      </c>
      <c r="C11" s="22">
        <f>SUM(C5:C10)</f>
        <v>270</v>
      </c>
      <c r="D11" s="22">
        <f>SUM(D5:D10)</f>
        <v>976</v>
      </c>
      <c r="E11" s="22">
        <f>SUM(E5:E10)</f>
        <v>91</v>
      </c>
    </row>
    <row r="13" spans="2:8" ht="15" customHeight="1" x14ac:dyDescent="0.3">
      <c r="B13" s="3" t="s">
        <v>127</v>
      </c>
      <c r="C13" s="5">
        <v>6</v>
      </c>
    </row>
    <row r="14" spans="2:8" ht="15" customHeight="1" x14ac:dyDescent="0.3">
      <c r="B14" s="3" t="s">
        <v>128</v>
      </c>
      <c r="C14" s="23">
        <f>(C13*D11-B11*C11)/(C13*E11-B11^2)</f>
        <v>1.7714285714285714</v>
      </c>
    </row>
    <row r="15" spans="2:8" ht="15" customHeight="1" x14ac:dyDescent="0.3">
      <c r="B15" s="3" t="s">
        <v>129</v>
      </c>
      <c r="C15" s="23">
        <f>(C11-C14*B11)/C13</f>
        <v>38.800000000000004</v>
      </c>
    </row>
    <row r="17" spans="2:3" ht="15" customHeight="1" x14ac:dyDescent="0.3">
      <c r="B17" s="3" t="s">
        <v>130</v>
      </c>
      <c r="C17" s="17">
        <f>$C$15+$C$14*7</f>
        <v>51.2</v>
      </c>
    </row>
    <row r="18" spans="2:3" ht="15" customHeight="1" x14ac:dyDescent="0.3">
      <c r="B18" s="3" t="s">
        <v>131</v>
      </c>
      <c r="C18" s="17">
        <f>$C$15+$C$14*8</f>
        <v>52.971428571428575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I17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18" customWidth="1"/>
    <col min="3" max="6" width="14" customWidth="1"/>
    <col min="7" max="7" width="16" customWidth="1"/>
    <col min="8" max="8" width="3" customWidth="1"/>
    <col min="9" max="9" width="50" customWidth="1"/>
  </cols>
  <sheetData>
    <row r="1" spans="2:9" ht="17.25" customHeight="1" x14ac:dyDescent="0.3">
      <c r="B1" s="9" t="s">
        <v>132</v>
      </c>
    </row>
    <row r="2" spans="2:9" ht="15" customHeight="1" x14ac:dyDescent="0.3">
      <c r="B2" s="2" t="s">
        <v>133</v>
      </c>
    </row>
    <row r="4" spans="2:9" ht="51.75" customHeight="1" x14ac:dyDescent="0.3">
      <c r="B4" s="10" t="s">
        <v>73</v>
      </c>
      <c r="C4" s="10" t="s">
        <v>98</v>
      </c>
      <c r="D4" s="10" t="s">
        <v>99</v>
      </c>
      <c r="E4" s="10" t="s">
        <v>134</v>
      </c>
      <c r="F4" s="10" t="s">
        <v>135</v>
      </c>
      <c r="G4" s="10" t="s">
        <v>136</v>
      </c>
      <c r="H4" s="10" t="s">
        <v>137</v>
      </c>
      <c r="I4" s="3" t="s">
        <v>138</v>
      </c>
    </row>
    <row r="5" spans="2:9" ht="15" customHeight="1" x14ac:dyDescent="0.3">
      <c r="B5" s="11" t="s">
        <v>81</v>
      </c>
      <c r="C5" s="19">
        <v>380</v>
      </c>
      <c r="D5" s="19">
        <v>370</v>
      </c>
      <c r="E5" s="21">
        <f t="shared" ref="E5:E12" si="0">C5-D5</f>
        <v>10</v>
      </c>
      <c r="F5" s="21">
        <f t="shared" ref="F5:F12" si="1">ABS(E5)</f>
        <v>10</v>
      </c>
      <c r="G5" s="24">
        <f t="shared" ref="G5:G12" si="2">ABS(E5)/C5</f>
        <v>2.6315789473684209E-2</v>
      </c>
      <c r="H5" s="21">
        <f>E5</f>
        <v>10</v>
      </c>
      <c r="I5" s="4" t="s">
        <v>139</v>
      </c>
    </row>
    <row r="6" spans="2:9" ht="15" customHeight="1" x14ac:dyDescent="0.3">
      <c r="B6" s="11" t="s">
        <v>83</v>
      </c>
      <c r="C6" s="19">
        <v>400</v>
      </c>
      <c r="D6" s="19">
        <v>390</v>
      </c>
      <c r="E6" s="21">
        <f t="shared" si="0"/>
        <v>10</v>
      </c>
      <c r="F6" s="21">
        <f t="shared" si="1"/>
        <v>10</v>
      </c>
      <c r="G6" s="24">
        <f t="shared" si="2"/>
        <v>2.5000000000000001E-2</v>
      </c>
      <c r="H6" s="21">
        <f t="shared" ref="H6:H12" si="3">H5+E6</f>
        <v>20</v>
      </c>
      <c r="I6" s="4" t="s">
        <v>140</v>
      </c>
    </row>
    <row r="7" spans="2:9" ht="15" customHeight="1" x14ac:dyDescent="0.3">
      <c r="B7" s="11" t="s">
        <v>85</v>
      </c>
      <c r="C7" s="19">
        <v>420</v>
      </c>
      <c r="D7" s="19">
        <v>405</v>
      </c>
      <c r="E7" s="21">
        <f t="shared" si="0"/>
        <v>15</v>
      </c>
      <c r="F7" s="21">
        <f t="shared" si="1"/>
        <v>15</v>
      </c>
      <c r="G7" s="24">
        <f t="shared" si="2"/>
        <v>3.5714285714285712E-2</v>
      </c>
      <c r="H7" s="21">
        <f t="shared" si="3"/>
        <v>35</v>
      </c>
      <c r="I7" s="4" t="s">
        <v>141</v>
      </c>
    </row>
    <row r="8" spans="2:9" ht="15" customHeight="1" x14ac:dyDescent="0.3">
      <c r="B8" s="11" t="s">
        <v>87</v>
      </c>
      <c r="C8" s="19">
        <v>350</v>
      </c>
      <c r="D8" s="19">
        <v>380</v>
      </c>
      <c r="E8" s="21">
        <f t="shared" si="0"/>
        <v>-30</v>
      </c>
      <c r="F8" s="21">
        <f t="shared" si="1"/>
        <v>30</v>
      </c>
      <c r="G8" s="24">
        <f t="shared" si="2"/>
        <v>8.5714285714285715E-2</v>
      </c>
      <c r="H8" s="21">
        <f t="shared" si="3"/>
        <v>5</v>
      </c>
      <c r="I8" s="4" t="s">
        <v>142</v>
      </c>
    </row>
    <row r="9" spans="2:9" ht="15" customHeight="1" x14ac:dyDescent="0.3">
      <c r="B9" s="11" t="s">
        <v>89</v>
      </c>
      <c r="C9" s="19">
        <v>410</v>
      </c>
      <c r="D9" s="19">
        <v>395</v>
      </c>
      <c r="E9" s="21">
        <f t="shared" si="0"/>
        <v>15</v>
      </c>
      <c r="F9" s="21">
        <f t="shared" si="1"/>
        <v>15</v>
      </c>
      <c r="G9" s="24">
        <f t="shared" si="2"/>
        <v>3.6585365853658534E-2</v>
      </c>
      <c r="H9" s="21">
        <f t="shared" si="3"/>
        <v>20</v>
      </c>
    </row>
    <row r="10" spans="2:9" ht="15" customHeight="1" x14ac:dyDescent="0.3">
      <c r="B10" s="11" t="s">
        <v>90</v>
      </c>
      <c r="C10" s="19">
        <v>390</v>
      </c>
      <c r="D10" s="19">
        <v>400</v>
      </c>
      <c r="E10" s="21">
        <f t="shared" si="0"/>
        <v>-10</v>
      </c>
      <c r="F10" s="21">
        <f t="shared" si="1"/>
        <v>10</v>
      </c>
      <c r="G10" s="24">
        <f t="shared" si="2"/>
        <v>2.564102564102564E-2</v>
      </c>
      <c r="H10" s="21">
        <f t="shared" si="3"/>
        <v>10</v>
      </c>
      <c r="I10" s="3" t="s">
        <v>143</v>
      </c>
    </row>
    <row r="11" spans="2:9" ht="15" customHeight="1" x14ac:dyDescent="0.3">
      <c r="B11" s="11" t="s">
        <v>91</v>
      </c>
      <c r="C11" s="19">
        <v>450</v>
      </c>
      <c r="D11" s="19">
        <v>420</v>
      </c>
      <c r="E11" s="21">
        <f t="shared" si="0"/>
        <v>30</v>
      </c>
      <c r="F11" s="21">
        <f t="shared" si="1"/>
        <v>30</v>
      </c>
      <c r="G11" s="24">
        <f t="shared" si="2"/>
        <v>6.6666666666666666E-2</v>
      </c>
      <c r="H11" s="21">
        <f t="shared" si="3"/>
        <v>40</v>
      </c>
      <c r="I11" s="4" t="s">
        <v>144</v>
      </c>
    </row>
    <row r="12" spans="2:9" ht="15" customHeight="1" x14ac:dyDescent="0.3">
      <c r="B12" s="11" t="s">
        <v>92</v>
      </c>
      <c r="C12" s="19">
        <v>430</v>
      </c>
      <c r="D12" s="19">
        <v>440</v>
      </c>
      <c r="E12" s="21">
        <f t="shared" si="0"/>
        <v>-10</v>
      </c>
      <c r="F12" s="21">
        <f t="shared" si="1"/>
        <v>10</v>
      </c>
      <c r="G12" s="24">
        <f t="shared" si="2"/>
        <v>2.3255813953488372E-2</v>
      </c>
      <c r="H12" s="21">
        <f t="shared" si="3"/>
        <v>30</v>
      </c>
      <c r="I12" s="4" t="s">
        <v>145</v>
      </c>
    </row>
    <row r="14" spans="2:9" ht="15" customHeight="1" x14ac:dyDescent="0.3">
      <c r="B14" s="3" t="s">
        <v>66</v>
      </c>
      <c r="D14" s="17">
        <f>AVERAGE(F5:F12)</f>
        <v>16.25</v>
      </c>
    </row>
    <row r="15" spans="2:9" ht="15" customHeight="1" x14ac:dyDescent="0.3">
      <c r="B15" s="3" t="s">
        <v>146</v>
      </c>
      <c r="D15" s="25">
        <f>AVERAGE(G5:G12)</f>
        <v>4.0611654127136854E-2</v>
      </c>
    </row>
    <row r="16" spans="2:9" ht="15" customHeight="1" x14ac:dyDescent="0.3">
      <c r="B16" s="3" t="s">
        <v>147</v>
      </c>
      <c r="D16" s="8">
        <f>H12</f>
        <v>30</v>
      </c>
    </row>
    <row r="17" spans="2:4" ht="15" customHeight="1" x14ac:dyDescent="0.3">
      <c r="B17" s="3" t="s">
        <v>148</v>
      </c>
      <c r="D17" s="17">
        <f>D16/D14</f>
        <v>1.8461538461538463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G16"/>
  <sheetViews>
    <sheetView zoomScaleNormal="100" workbookViewId="0">
      <selection activeCell="G30" sqref="G30"/>
    </sheetView>
  </sheetViews>
  <sheetFormatPr defaultColWidth="8.6640625" defaultRowHeight="14.4" x14ac:dyDescent="0.3"/>
  <cols>
    <col min="1" max="1" width="3" customWidth="1"/>
    <col min="2" max="2" width="30" customWidth="1"/>
    <col min="3" max="5" width="14" customWidth="1"/>
    <col min="6" max="6" width="3" customWidth="1"/>
    <col min="7" max="7" width="50" customWidth="1"/>
  </cols>
  <sheetData>
    <row r="1" spans="2:7" ht="17.25" customHeight="1" x14ac:dyDescent="0.3">
      <c r="B1" s="9" t="s">
        <v>149</v>
      </c>
    </row>
    <row r="2" spans="2:7" ht="15" customHeight="1" x14ac:dyDescent="0.3">
      <c r="B2" s="2" t="s">
        <v>150</v>
      </c>
    </row>
    <row r="4" spans="2:7" ht="15" customHeight="1" x14ac:dyDescent="0.3">
      <c r="B4" s="3" t="s">
        <v>151</v>
      </c>
      <c r="G4" s="3" t="s">
        <v>152</v>
      </c>
    </row>
    <row r="5" spans="2:7" ht="15" customHeight="1" x14ac:dyDescent="0.3">
      <c r="B5" s="11" t="s">
        <v>153</v>
      </c>
      <c r="C5" s="19">
        <v>100</v>
      </c>
      <c r="G5" s="4" t="s">
        <v>154</v>
      </c>
    </row>
    <row r="6" spans="2:7" ht="15" customHeight="1" x14ac:dyDescent="0.3">
      <c r="B6" s="11" t="s">
        <v>155</v>
      </c>
      <c r="C6" s="19">
        <v>1200</v>
      </c>
      <c r="G6" s="4" t="s">
        <v>156</v>
      </c>
    </row>
    <row r="7" spans="2:7" ht="15" customHeight="1" x14ac:dyDescent="0.3">
      <c r="B7" s="11" t="s">
        <v>157</v>
      </c>
      <c r="C7" s="26">
        <v>0.2</v>
      </c>
    </row>
    <row r="8" spans="2:7" ht="15" customHeight="1" x14ac:dyDescent="0.3">
      <c r="B8" s="11" t="s">
        <v>158</v>
      </c>
      <c r="C8" s="21">
        <f>C6*C7</f>
        <v>240</v>
      </c>
      <c r="G8" s="4" t="s">
        <v>159</v>
      </c>
    </row>
    <row r="9" spans="2:7" ht="15" customHeight="1" x14ac:dyDescent="0.3">
      <c r="B9" s="27" t="s">
        <v>160</v>
      </c>
      <c r="C9" s="28">
        <f>C6+C8-C5</f>
        <v>1340</v>
      </c>
    </row>
    <row r="12" spans="2:7" ht="15" customHeight="1" x14ac:dyDescent="0.3">
      <c r="B12" s="3" t="s">
        <v>161</v>
      </c>
      <c r="G12" s="4" t="s">
        <v>162</v>
      </c>
    </row>
    <row r="13" spans="2:7" ht="15" customHeight="1" x14ac:dyDescent="0.3">
      <c r="B13" s="11" t="s">
        <v>160</v>
      </c>
      <c r="C13" s="19">
        <v>700</v>
      </c>
      <c r="G13" s="4" t="s">
        <v>163</v>
      </c>
    </row>
    <row r="14" spans="2:7" ht="15" customHeight="1" x14ac:dyDescent="0.3">
      <c r="B14" s="11" t="s">
        <v>155</v>
      </c>
      <c r="C14" s="19">
        <v>1100</v>
      </c>
      <c r="G14" s="4" t="s">
        <v>164</v>
      </c>
    </row>
    <row r="15" spans="2:7" ht="15" customHeight="1" x14ac:dyDescent="0.3">
      <c r="B15" s="11" t="s">
        <v>165</v>
      </c>
      <c r="C15" s="19">
        <v>110</v>
      </c>
    </row>
    <row r="16" spans="2:7" ht="15" customHeight="1" x14ac:dyDescent="0.3">
      <c r="B16" s="27" t="s">
        <v>153</v>
      </c>
      <c r="C16" s="28">
        <f>C15+C14-C13</f>
        <v>510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I24"/>
  <sheetViews>
    <sheetView zoomScaleNormal="100" workbookViewId="0">
      <selection activeCell="F30" sqref="F30"/>
    </sheetView>
  </sheetViews>
  <sheetFormatPr defaultColWidth="8.6640625" defaultRowHeight="14.4" x14ac:dyDescent="0.3"/>
  <cols>
    <col min="1" max="1" width="3" customWidth="1"/>
    <col min="2" max="2" width="28" customWidth="1"/>
    <col min="3" max="8" width="12" customWidth="1"/>
    <col min="9" max="9" width="14" customWidth="1"/>
  </cols>
  <sheetData>
    <row r="1" spans="2:9" ht="17.25" customHeight="1" x14ac:dyDescent="0.3">
      <c r="B1" s="9" t="s">
        <v>166</v>
      </c>
    </row>
    <row r="2" spans="2:9" ht="15" customHeight="1" x14ac:dyDescent="0.3">
      <c r="B2" s="2" t="s">
        <v>167</v>
      </c>
    </row>
    <row r="4" spans="2:9" ht="15" customHeight="1" x14ac:dyDescent="0.3">
      <c r="B4" s="3" t="s">
        <v>168</v>
      </c>
    </row>
    <row r="5" spans="2:9" ht="15" customHeight="1" x14ac:dyDescent="0.3">
      <c r="B5" s="11" t="s">
        <v>169</v>
      </c>
      <c r="C5" s="19">
        <v>200</v>
      </c>
      <c r="D5" s="11" t="s">
        <v>170</v>
      </c>
    </row>
    <row r="6" spans="2:9" ht="15" customHeight="1" x14ac:dyDescent="0.3">
      <c r="B6" s="11" t="s">
        <v>171</v>
      </c>
      <c r="C6" s="19">
        <v>250</v>
      </c>
      <c r="D6" s="11" t="s">
        <v>170</v>
      </c>
    </row>
    <row r="7" spans="2:9" ht="15" customHeight="1" x14ac:dyDescent="0.3">
      <c r="B7" s="11" t="s">
        <v>172</v>
      </c>
      <c r="C7" s="19">
        <v>5</v>
      </c>
      <c r="D7" s="11" t="s">
        <v>173</v>
      </c>
    </row>
    <row r="8" spans="2:9" ht="15" customHeight="1" x14ac:dyDescent="0.3">
      <c r="B8" s="11" t="s">
        <v>174</v>
      </c>
      <c r="C8" s="19">
        <v>4</v>
      </c>
      <c r="D8" s="11" t="s">
        <v>175</v>
      </c>
    </row>
    <row r="9" spans="2:9" ht="15" customHeight="1" x14ac:dyDescent="0.3">
      <c r="B9" s="11" t="s">
        <v>176</v>
      </c>
      <c r="C9" s="19">
        <v>8</v>
      </c>
      <c r="D9" s="11" t="s">
        <v>173</v>
      </c>
    </row>
    <row r="10" spans="2:9" ht="15" customHeight="1" x14ac:dyDescent="0.3">
      <c r="B10" s="11" t="s">
        <v>177</v>
      </c>
      <c r="C10" s="19">
        <v>53</v>
      </c>
      <c r="D10" s="11" t="s">
        <v>178</v>
      </c>
    </row>
    <row r="12" spans="2:9" ht="15" customHeight="1" x14ac:dyDescent="0.3">
      <c r="B12" s="10"/>
      <c r="C12" s="10" t="s">
        <v>179</v>
      </c>
      <c r="D12" s="10" t="s">
        <v>180</v>
      </c>
      <c r="E12" s="10" t="s">
        <v>181</v>
      </c>
      <c r="F12" s="10" t="s">
        <v>182</v>
      </c>
      <c r="G12" s="10" t="s">
        <v>183</v>
      </c>
      <c r="H12" s="10" t="s">
        <v>184</v>
      </c>
      <c r="I12" s="10" t="s">
        <v>185</v>
      </c>
    </row>
    <row r="13" spans="2:9" ht="15" customHeight="1" x14ac:dyDescent="0.3">
      <c r="B13" s="11" t="s">
        <v>160</v>
      </c>
      <c r="C13" s="19">
        <v>1850</v>
      </c>
      <c r="D13" s="19">
        <v>1425</v>
      </c>
      <c r="E13" s="19">
        <v>1000</v>
      </c>
      <c r="F13" s="19">
        <v>850</v>
      </c>
      <c r="G13" s="19">
        <v>1150</v>
      </c>
      <c r="H13" s="19">
        <v>1725</v>
      </c>
    </row>
    <row r="14" spans="2:9" ht="15" customHeight="1" x14ac:dyDescent="0.3">
      <c r="B14" s="11" t="s">
        <v>186</v>
      </c>
      <c r="C14" s="21">
        <f t="shared" ref="C14:H14" si="0">C13*$C$7</f>
        <v>9250</v>
      </c>
      <c r="D14" s="21">
        <f t="shared" si="0"/>
        <v>7125</v>
      </c>
      <c r="E14" s="21">
        <f t="shared" si="0"/>
        <v>5000</v>
      </c>
      <c r="F14" s="21">
        <f t="shared" si="0"/>
        <v>4250</v>
      </c>
      <c r="G14" s="21">
        <f t="shared" si="0"/>
        <v>5750</v>
      </c>
      <c r="H14" s="21">
        <f t="shared" si="0"/>
        <v>8625</v>
      </c>
    </row>
    <row r="15" spans="2:9" ht="15" customHeight="1" x14ac:dyDescent="0.3">
      <c r="B15" s="11" t="s">
        <v>187</v>
      </c>
      <c r="C15" s="19">
        <v>22</v>
      </c>
      <c r="D15" s="19">
        <v>19</v>
      </c>
      <c r="E15" s="19">
        <v>21</v>
      </c>
      <c r="F15" s="19">
        <v>21</v>
      </c>
      <c r="G15" s="19">
        <v>22</v>
      </c>
      <c r="H15" s="19">
        <v>20</v>
      </c>
    </row>
    <row r="16" spans="2:9" ht="15" customHeight="1" x14ac:dyDescent="0.3">
      <c r="B16" s="11" t="s">
        <v>188</v>
      </c>
      <c r="C16" s="21">
        <f t="shared" ref="C16:H16" si="1">C15*$C$9</f>
        <v>176</v>
      </c>
      <c r="D16" s="21">
        <f t="shared" si="1"/>
        <v>152</v>
      </c>
      <c r="E16" s="21">
        <f t="shared" si="1"/>
        <v>168</v>
      </c>
      <c r="F16" s="21">
        <f t="shared" si="1"/>
        <v>168</v>
      </c>
      <c r="G16" s="21">
        <f t="shared" si="1"/>
        <v>176</v>
      </c>
      <c r="H16" s="21">
        <f t="shared" si="1"/>
        <v>160</v>
      </c>
    </row>
    <row r="17" spans="2:9" ht="15" customHeight="1" x14ac:dyDescent="0.3">
      <c r="B17" s="11" t="s">
        <v>189</v>
      </c>
      <c r="C17" s="21">
        <f t="shared" ref="C17:H17" si="2">ROUNDUP(C14/C16,0)</f>
        <v>53</v>
      </c>
      <c r="D17" s="21">
        <f t="shared" si="2"/>
        <v>47</v>
      </c>
      <c r="E17" s="21">
        <f t="shared" si="2"/>
        <v>30</v>
      </c>
      <c r="F17" s="21">
        <f t="shared" si="2"/>
        <v>26</v>
      </c>
      <c r="G17" s="21">
        <f t="shared" si="2"/>
        <v>33</v>
      </c>
      <c r="H17" s="21">
        <f t="shared" si="2"/>
        <v>54</v>
      </c>
    </row>
    <row r="18" spans="2:9" ht="15" customHeight="1" x14ac:dyDescent="0.3">
      <c r="B18" s="11" t="s">
        <v>190</v>
      </c>
      <c r="C18" s="21">
        <f>MAX(0,C17-$C$10)</f>
        <v>0</v>
      </c>
      <c r="D18" s="21">
        <f>MAX(0,D17-C17)</f>
        <v>0</v>
      </c>
      <c r="E18" s="21">
        <f>MAX(0,E17-D17)</f>
        <v>0</v>
      </c>
      <c r="F18" s="21">
        <f>MAX(0,F17-E17)</f>
        <v>0</v>
      </c>
      <c r="G18" s="21">
        <f>MAX(0,G17-F17)</f>
        <v>7</v>
      </c>
      <c r="H18" s="21">
        <f>MAX(0,H17-G17)</f>
        <v>21</v>
      </c>
    </row>
    <row r="19" spans="2:9" ht="15" customHeight="1" x14ac:dyDescent="0.3">
      <c r="B19" s="11" t="s">
        <v>191</v>
      </c>
      <c r="C19" s="29">
        <f t="shared" ref="C19:H19" si="3">C18*$C$5</f>
        <v>0</v>
      </c>
      <c r="D19" s="29">
        <f t="shared" si="3"/>
        <v>0</v>
      </c>
      <c r="E19" s="29">
        <f t="shared" si="3"/>
        <v>0</v>
      </c>
      <c r="F19" s="29">
        <f t="shared" si="3"/>
        <v>0</v>
      </c>
      <c r="G19" s="29">
        <f t="shared" si="3"/>
        <v>1400</v>
      </c>
      <c r="H19" s="29">
        <f t="shared" si="3"/>
        <v>4200</v>
      </c>
      <c r="I19" s="30">
        <f>SUM(C19:H19)</f>
        <v>5600</v>
      </c>
    </row>
    <row r="20" spans="2:9" ht="15" customHeight="1" x14ac:dyDescent="0.3">
      <c r="B20" s="11" t="s">
        <v>192</v>
      </c>
      <c r="C20" s="21">
        <f>MAX(0,$C$10-C17)</f>
        <v>0</v>
      </c>
      <c r="D20" s="21">
        <f>MAX(0,C17-D17)</f>
        <v>6</v>
      </c>
      <c r="E20" s="21">
        <f>MAX(0,D17-E17)</f>
        <v>17</v>
      </c>
      <c r="F20" s="21">
        <f>MAX(0,E17-F17)</f>
        <v>4</v>
      </c>
      <c r="G20" s="21">
        <f>MAX(0,F17-G17)</f>
        <v>0</v>
      </c>
      <c r="H20" s="21">
        <f>MAX(0,G17-H17)</f>
        <v>0</v>
      </c>
    </row>
    <row r="21" spans="2:9" ht="15" customHeight="1" x14ac:dyDescent="0.3">
      <c r="B21" s="11" t="s">
        <v>193</v>
      </c>
      <c r="C21" s="29">
        <f t="shared" ref="C21:H21" si="4">C20*$C$6</f>
        <v>0</v>
      </c>
      <c r="D21" s="29">
        <f t="shared" si="4"/>
        <v>1500</v>
      </c>
      <c r="E21" s="29">
        <f t="shared" si="4"/>
        <v>4250</v>
      </c>
      <c r="F21" s="29">
        <f t="shared" si="4"/>
        <v>1000</v>
      </c>
      <c r="G21" s="29">
        <f t="shared" si="4"/>
        <v>0</v>
      </c>
      <c r="H21" s="29">
        <f t="shared" si="4"/>
        <v>0</v>
      </c>
      <c r="I21" s="30">
        <f>SUM(C21:H21)</f>
        <v>6750</v>
      </c>
    </row>
    <row r="22" spans="2:9" ht="15" customHeight="1" x14ac:dyDescent="0.3">
      <c r="B22" s="11" t="s">
        <v>194</v>
      </c>
      <c r="C22" s="29">
        <f t="shared" ref="C22:H22" si="5">C14*$C$8</f>
        <v>37000</v>
      </c>
      <c r="D22" s="29">
        <f t="shared" si="5"/>
        <v>28500</v>
      </c>
      <c r="E22" s="29">
        <f t="shared" si="5"/>
        <v>20000</v>
      </c>
      <c r="F22" s="29">
        <f t="shared" si="5"/>
        <v>17000</v>
      </c>
      <c r="G22" s="29">
        <f t="shared" si="5"/>
        <v>23000</v>
      </c>
      <c r="H22" s="29">
        <f t="shared" si="5"/>
        <v>34500</v>
      </c>
      <c r="I22" s="30">
        <f>SUM(C22:H22)</f>
        <v>160000</v>
      </c>
    </row>
    <row r="24" spans="2:9" ht="15" customHeight="1" x14ac:dyDescent="0.3">
      <c r="G24" s="3" t="s">
        <v>195</v>
      </c>
      <c r="I24" s="31">
        <f>I19+I21+I22</f>
        <v>172350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I26"/>
  <sheetViews>
    <sheetView zoomScaleNormal="100" workbookViewId="0">
      <selection activeCell="F30" sqref="F30"/>
    </sheetView>
  </sheetViews>
  <sheetFormatPr defaultColWidth="8.6640625" defaultRowHeight="14.4" x14ac:dyDescent="0.3"/>
  <cols>
    <col min="1" max="1" width="3" customWidth="1"/>
    <col min="2" max="2" width="35" customWidth="1"/>
    <col min="3" max="8" width="12" customWidth="1"/>
    <col min="9" max="9" width="14" customWidth="1"/>
  </cols>
  <sheetData>
    <row r="1" spans="2:9" ht="17.25" customHeight="1" x14ac:dyDescent="0.3">
      <c r="B1" s="9" t="s">
        <v>196</v>
      </c>
    </row>
    <row r="2" spans="2:9" ht="15" customHeight="1" x14ac:dyDescent="0.3">
      <c r="B2" s="2" t="s">
        <v>197</v>
      </c>
    </row>
    <row r="4" spans="2:9" ht="15" customHeight="1" x14ac:dyDescent="0.3">
      <c r="B4" s="3" t="s">
        <v>168</v>
      </c>
    </row>
    <row r="5" spans="2:9" ht="15" customHeight="1" x14ac:dyDescent="0.3">
      <c r="B5" s="4" t="s">
        <v>198</v>
      </c>
      <c r="C5" s="5">
        <v>40</v>
      </c>
      <c r="H5" s="13"/>
    </row>
    <row r="6" spans="2:9" ht="15" customHeight="1" x14ac:dyDescent="0.3">
      <c r="B6" s="4" t="s">
        <v>176</v>
      </c>
      <c r="C6" s="5">
        <v>8</v>
      </c>
      <c r="H6" s="13"/>
    </row>
    <row r="7" spans="2:9" ht="15" customHeight="1" x14ac:dyDescent="0.3">
      <c r="B7" s="4" t="s">
        <v>199</v>
      </c>
      <c r="C7" s="5">
        <v>5</v>
      </c>
      <c r="H7" s="13"/>
    </row>
    <row r="8" spans="2:9" ht="15" customHeight="1" x14ac:dyDescent="0.3">
      <c r="B8" s="4" t="s">
        <v>200</v>
      </c>
      <c r="C8" s="5">
        <v>1.5</v>
      </c>
      <c r="H8" s="13"/>
    </row>
    <row r="9" spans="2:9" ht="15" customHeight="1" x14ac:dyDescent="0.3">
      <c r="B9" s="4" t="s">
        <v>201</v>
      </c>
      <c r="C9" s="5">
        <v>5</v>
      </c>
      <c r="H9" s="13"/>
    </row>
    <row r="10" spans="2:9" ht="15" customHeight="1" x14ac:dyDescent="0.3">
      <c r="B10" s="4" t="s">
        <v>174</v>
      </c>
      <c r="C10" s="5">
        <v>4</v>
      </c>
      <c r="H10" s="13"/>
    </row>
    <row r="11" spans="2:9" ht="15" customHeight="1" x14ac:dyDescent="0.3">
      <c r="B11" s="4" t="s">
        <v>153</v>
      </c>
      <c r="C11" s="5">
        <v>400</v>
      </c>
      <c r="H11" s="13"/>
    </row>
    <row r="13" spans="2:9" ht="15" customHeight="1" x14ac:dyDescent="0.3">
      <c r="B13" s="10"/>
      <c r="C13" s="10" t="s">
        <v>179</v>
      </c>
      <c r="D13" s="10" t="s">
        <v>180</v>
      </c>
      <c r="E13" s="10" t="s">
        <v>181</v>
      </c>
      <c r="F13" s="10" t="s">
        <v>182</v>
      </c>
      <c r="G13" s="10" t="s">
        <v>183</v>
      </c>
      <c r="H13" s="10" t="s">
        <v>184</v>
      </c>
      <c r="I13" s="10" t="s">
        <v>185</v>
      </c>
    </row>
    <row r="14" spans="2:9" ht="15" customHeight="1" x14ac:dyDescent="0.3">
      <c r="B14" s="11" t="s">
        <v>153</v>
      </c>
      <c r="C14" s="21">
        <f>$C$11</f>
        <v>400</v>
      </c>
      <c r="D14" s="21">
        <f>C19</f>
        <v>8</v>
      </c>
      <c r="E14" s="21">
        <f>D19</f>
        <v>-276</v>
      </c>
      <c r="F14" s="21">
        <f>E19</f>
        <v>-32</v>
      </c>
      <c r="G14" s="21">
        <f>F19</f>
        <v>412</v>
      </c>
      <c r="H14" s="21">
        <f>G19</f>
        <v>720</v>
      </c>
    </row>
    <row r="15" spans="2:9" ht="15" customHeight="1" x14ac:dyDescent="0.3">
      <c r="B15" s="11" t="s">
        <v>187</v>
      </c>
      <c r="C15" s="19">
        <v>22</v>
      </c>
      <c r="D15" s="19">
        <v>19</v>
      </c>
      <c r="E15" s="19">
        <v>21</v>
      </c>
      <c r="F15" s="19">
        <v>21</v>
      </c>
      <c r="G15" s="19">
        <v>22</v>
      </c>
      <c r="H15" s="19">
        <v>20</v>
      </c>
    </row>
    <row r="16" spans="2:9" ht="15" customHeight="1" x14ac:dyDescent="0.3">
      <c r="B16" s="11" t="s">
        <v>202</v>
      </c>
      <c r="C16" s="21">
        <f t="shared" ref="C16:H16" si="0">C15*$C$6*$C$5</f>
        <v>7040</v>
      </c>
      <c r="D16" s="21">
        <f t="shared" si="0"/>
        <v>6080</v>
      </c>
      <c r="E16" s="21">
        <f t="shared" si="0"/>
        <v>6720</v>
      </c>
      <c r="F16" s="21">
        <f t="shared" si="0"/>
        <v>6720</v>
      </c>
      <c r="G16" s="21">
        <f t="shared" si="0"/>
        <v>7040</v>
      </c>
      <c r="H16" s="21">
        <f t="shared" si="0"/>
        <v>6400</v>
      </c>
    </row>
    <row r="17" spans="2:9" ht="15" customHeight="1" x14ac:dyDescent="0.3">
      <c r="B17" s="11" t="s">
        <v>203</v>
      </c>
      <c r="C17" s="21">
        <f t="shared" ref="C17:H17" si="1">C16/$C$7</f>
        <v>1408</v>
      </c>
      <c r="D17" s="21">
        <f t="shared" si="1"/>
        <v>1216</v>
      </c>
      <c r="E17" s="21">
        <f t="shared" si="1"/>
        <v>1344</v>
      </c>
      <c r="F17" s="21">
        <f t="shared" si="1"/>
        <v>1344</v>
      </c>
      <c r="G17" s="21">
        <f t="shared" si="1"/>
        <v>1408</v>
      </c>
      <c r="H17" s="21">
        <f t="shared" si="1"/>
        <v>1280</v>
      </c>
    </row>
    <row r="18" spans="2:9" ht="15" customHeight="1" x14ac:dyDescent="0.3">
      <c r="B18" s="11" t="s">
        <v>155</v>
      </c>
      <c r="C18" s="19">
        <v>1800</v>
      </c>
      <c r="D18" s="19">
        <v>1500</v>
      </c>
      <c r="E18" s="19">
        <v>1100</v>
      </c>
      <c r="F18" s="19">
        <v>900</v>
      </c>
      <c r="G18" s="19">
        <v>1100</v>
      </c>
      <c r="H18" s="19">
        <v>1600</v>
      </c>
    </row>
    <row r="19" spans="2:9" ht="15" customHeight="1" x14ac:dyDescent="0.3">
      <c r="B19" s="11" t="s">
        <v>165</v>
      </c>
      <c r="C19" s="21">
        <f t="shared" ref="C19:H19" si="2">C14+C17-C18</f>
        <v>8</v>
      </c>
      <c r="D19" s="21">
        <f t="shared" si="2"/>
        <v>-276</v>
      </c>
      <c r="E19" s="21">
        <f t="shared" si="2"/>
        <v>-32</v>
      </c>
      <c r="F19" s="21">
        <f t="shared" si="2"/>
        <v>412</v>
      </c>
      <c r="G19" s="21">
        <f t="shared" si="2"/>
        <v>720</v>
      </c>
      <c r="H19" s="21">
        <f t="shared" si="2"/>
        <v>400</v>
      </c>
    </row>
    <row r="20" spans="2:9" ht="15" customHeight="1" x14ac:dyDescent="0.3">
      <c r="B20" s="11" t="s">
        <v>204</v>
      </c>
      <c r="C20" s="29">
        <f t="shared" ref="C20:H20" si="3">IF(C19&lt;0,ABS(C19)*$C$9,0)</f>
        <v>0</v>
      </c>
      <c r="D20" s="29">
        <f t="shared" si="3"/>
        <v>1380</v>
      </c>
      <c r="E20" s="29">
        <f t="shared" si="3"/>
        <v>160</v>
      </c>
      <c r="F20" s="29">
        <f t="shared" si="3"/>
        <v>0</v>
      </c>
      <c r="G20" s="29">
        <f t="shared" si="3"/>
        <v>0</v>
      </c>
      <c r="H20" s="29">
        <f t="shared" si="3"/>
        <v>0</v>
      </c>
      <c r="I20" s="30">
        <f>SUM(C20:H20)</f>
        <v>1540</v>
      </c>
    </row>
    <row r="21" spans="2:9" ht="15" customHeight="1" x14ac:dyDescent="0.3">
      <c r="B21" s="11" t="s">
        <v>205</v>
      </c>
      <c r="C21" s="19">
        <v>450</v>
      </c>
      <c r="D21" s="19">
        <v>375</v>
      </c>
      <c r="E21" s="19">
        <v>275</v>
      </c>
      <c r="F21" s="19">
        <v>225</v>
      </c>
      <c r="G21" s="19">
        <v>275</v>
      </c>
      <c r="H21" s="19">
        <v>400</v>
      </c>
    </row>
    <row r="22" spans="2:9" ht="15" customHeight="1" x14ac:dyDescent="0.3">
      <c r="B22" s="11" t="s">
        <v>206</v>
      </c>
      <c r="C22" s="21">
        <f t="shared" ref="C22:H22" si="4">IF(C19&gt;0,MAX(0,C19-C21),0)</f>
        <v>0</v>
      </c>
      <c r="D22" s="21">
        <f t="shared" si="4"/>
        <v>0</v>
      </c>
      <c r="E22" s="21">
        <f t="shared" si="4"/>
        <v>0</v>
      </c>
      <c r="F22" s="21">
        <f t="shared" si="4"/>
        <v>187</v>
      </c>
      <c r="G22" s="21">
        <f t="shared" si="4"/>
        <v>445</v>
      </c>
      <c r="H22" s="21">
        <f t="shared" si="4"/>
        <v>0</v>
      </c>
    </row>
    <row r="23" spans="2:9" ht="15" customHeight="1" x14ac:dyDescent="0.3">
      <c r="B23" s="11" t="s">
        <v>207</v>
      </c>
      <c r="C23" s="29">
        <f t="shared" ref="C23:H23" si="5">C22*$C$8</f>
        <v>0</v>
      </c>
      <c r="D23" s="29">
        <f t="shared" si="5"/>
        <v>0</v>
      </c>
      <c r="E23" s="29">
        <f t="shared" si="5"/>
        <v>0</v>
      </c>
      <c r="F23" s="29">
        <f t="shared" si="5"/>
        <v>280.5</v>
      </c>
      <c r="G23" s="29">
        <f t="shared" si="5"/>
        <v>667.5</v>
      </c>
      <c r="H23" s="29">
        <f t="shared" si="5"/>
        <v>0</v>
      </c>
      <c r="I23" s="30">
        <f>SUM(C23:H23)</f>
        <v>948</v>
      </c>
    </row>
    <row r="24" spans="2:9" ht="15" customHeight="1" x14ac:dyDescent="0.3">
      <c r="B24" s="11" t="s">
        <v>194</v>
      </c>
      <c r="C24" s="29">
        <f t="shared" ref="C24:H24" si="6">C16*$C$10</f>
        <v>28160</v>
      </c>
      <c r="D24" s="29">
        <f t="shared" si="6"/>
        <v>24320</v>
      </c>
      <c r="E24" s="29">
        <f t="shared" si="6"/>
        <v>26880</v>
      </c>
      <c r="F24" s="29">
        <f t="shared" si="6"/>
        <v>26880</v>
      </c>
      <c r="G24" s="29">
        <f t="shared" si="6"/>
        <v>28160</v>
      </c>
      <c r="H24" s="29">
        <f t="shared" si="6"/>
        <v>25600</v>
      </c>
      <c r="I24" s="30">
        <f>SUM(C24:H24)</f>
        <v>160000</v>
      </c>
    </row>
    <row r="26" spans="2:9" ht="15" customHeight="1" x14ac:dyDescent="0.3">
      <c r="G26" s="3" t="s">
        <v>195</v>
      </c>
      <c r="I26" s="31">
        <f>I20+I23+I24</f>
        <v>162488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I25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5" customWidth="1"/>
    <col min="3" max="8" width="12" customWidth="1"/>
    <col min="9" max="9" width="14" customWidth="1"/>
  </cols>
  <sheetData>
    <row r="1" spans="2:9" ht="17.25" customHeight="1" x14ac:dyDescent="0.3">
      <c r="B1" s="9" t="s">
        <v>208</v>
      </c>
    </row>
    <row r="2" spans="2:9" ht="15" customHeight="1" x14ac:dyDescent="0.3">
      <c r="B2" s="2" t="s">
        <v>209</v>
      </c>
    </row>
    <row r="4" spans="2:9" ht="15" customHeight="1" x14ac:dyDescent="0.3">
      <c r="B4" s="3" t="s">
        <v>210</v>
      </c>
    </row>
    <row r="5" spans="2:9" ht="15" customHeight="1" x14ac:dyDescent="0.3">
      <c r="B5" s="11" t="s">
        <v>198</v>
      </c>
      <c r="C5" s="19">
        <v>25</v>
      </c>
    </row>
    <row r="6" spans="2:9" ht="15" customHeight="1" x14ac:dyDescent="0.3">
      <c r="B6" s="11" t="s">
        <v>176</v>
      </c>
      <c r="C6" s="19">
        <v>8</v>
      </c>
    </row>
    <row r="7" spans="2:9" ht="15" customHeight="1" x14ac:dyDescent="0.3">
      <c r="B7" s="11" t="s">
        <v>199</v>
      </c>
      <c r="C7" s="19">
        <v>5</v>
      </c>
    </row>
    <row r="8" spans="2:9" ht="15" customHeight="1" x14ac:dyDescent="0.3">
      <c r="B8" s="11" t="s">
        <v>211</v>
      </c>
      <c r="C8" s="19">
        <v>20</v>
      </c>
    </row>
    <row r="9" spans="2:9" ht="15" customHeight="1" x14ac:dyDescent="0.3">
      <c r="B9" s="11" t="s">
        <v>174</v>
      </c>
      <c r="C9" s="19">
        <v>4</v>
      </c>
    </row>
    <row r="11" spans="2:9" ht="15" customHeight="1" x14ac:dyDescent="0.3">
      <c r="B11" s="10"/>
      <c r="C11" s="10" t="s">
        <v>179</v>
      </c>
      <c r="D11" s="10" t="s">
        <v>180</v>
      </c>
      <c r="E11" s="10" t="s">
        <v>181</v>
      </c>
      <c r="F11" s="10" t="s">
        <v>182</v>
      </c>
      <c r="G11" s="10" t="s">
        <v>183</v>
      </c>
      <c r="H11" s="10" t="s">
        <v>184</v>
      </c>
      <c r="I11" s="10" t="s">
        <v>185</v>
      </c>
    </row>
    <row r="12" spans="2:9" ht="15" customHeight="1" x14ac:dyDescent="0.3">
      <c r="B12" s="11" t="s">
        <v>160</v>
      </c>
      <c r="C12" s="19">
        <v>1850</v>
      </c>
      <c r="D12" s="19">
        <v>1425</v>
      </c>
      <c r="E12" s="19">
        <v>1000</v>
      </c>
      <c r="F12" s="19">
        <v>850</v>
      </c>
      <c r="G12" s="19">
        <v>1150</v>
      </c>
      <c r="H12" s="19">
        <v>1725</v>
      </c>
    </row>
    <row r="13" spans="2:9" ht="15" customHeight="1" x14ac:dyDescent="0.3">
      <c r="B13" s="11" t="s">
        <v>187</v>
      </c>
      <c r="C13" s="19">
        <v>22</v>
      </c>
      <c r="D13" s="19">
        <v>19</v>
      </c>
      <c r="E13" s="19">
        <v>21</v>
      </c>
      <c r="F13" s="19">
        <v>21</v>
      </c>
      <c r="G13" s="19">
        <v>22</v>
      </c>
      <c r="H13" s="19">
        <v>20</v>
      </c>
    </row>
    <row r="14" spans="2:9" ht="15" customHeight="1" x14ac:dyDescent="0.3">
      <c r="B14" s="11" t="s">
        <v>202</v>
      </c>
      <c r="C14" s="21">
        <f t="shared" ref="C14:H14" si="0">C13*$C$6*$C$5</f>
        <v>4400</v>
      </c>
      <c r="D14" s="21">
        <f t="shared" si="0"/>
        <v>3800</v>
      </c>
      <c r="E14" s="21">
        <f t="shared" si="0"/>
        <v>4200</v>
      </c>
      <c r="F14" s="21">
        <f t="shared" si="0"/>
        <v>4200</v>
      </c>
      <c r="G14" s="21">
        <f t="shared" si="0"/>
        <v>4400</v>
      </c>
      <c r="H14" s="21">
        <f t="shared" si="0"/>
        <v>4000</v>
      </c>
    </row>
    <row r="15" spans="2:9" ht="15" customHeight="1" x14ac:dyDescent="0.3">
      <c r="B15" s="11" t="s">
        <v>203</v>
      </c>
      <c r="C15" s="21">
        <f t="shared" ref="C15:H15" si="1">C14/$C$7</f>
        <v>880</v>
      </c>
      <c r="D15" s="21">
        <f t="shared" si="1"/>
        <v>760</v>
      </c>
      <c r="E15" s="21">
        <f t="shared" si="1"/>
        <v>840</v>
      </c>
      <c r="F15" s="21">
        <f t="shared" si="1"/>
        <v>840</v>
      </c>
      <c r="G15" s="21">
        <f t="shared" si="1"/>
        <v>880</v>
      </c>
      <c r="H15" s="21">
        <f t="shared" si="1"/>
        <v>800</v>
      </c>
    </row>
    <row r="16" spans="2:9" ht="15" customHeight="1" x14ac:dyDescent="0.3">
      <c r="B16" s="11" t="s">
        <v>212</v>
      </c>
      <c r="C16" s="21">
        <f t="shared" ref="C16:H16" si="2">MAX(0,C12-C15)</f>
        <v>970</v>
      </c>
      <c r="D16" s="21">
        <f t="shared" si="2"/>
        <v>665</v>
      </c>
      <c r="E16" s="21">
        <f t="shared" si="2"/>
        <v>160</v>
      </c>
      <c r="F16" s="21">
        <f t="shared" si="2"/>
        <v>10</v>
      </c>
      <c r="G16" s="21">
        <f t="shared" si="2"/>
        <v>270</v>
      </c>
      <c r="H16" s="21">
        <f t="shared" si="2"/>
        <v>925</v>
      </c>
    </row>
    <row r="17" spans="2:9" ht="15" customHeight="1" x14ac:dyDescent="0.3">
      <c r="B17" s="11" t="s">
        <v>213</v>
      </c>
      <c r="C17" s="29">
        <f t="shared" ref="C17:H17" si="3">C16*$C$8</f>
        <v>19400</v>
      </c>
      <c r="D17" s="29">
        <f t="shared" si="3"/>
        <v>13300</v>
      </c>
      <c r="E17" s="29">
        <f t="shared" si="3"/>
        <v>3200</v>
      </c>
      <c r="F17" s="29">
        <f t="shared" si="3"/>
        <v>200</v>
      </c>
      <c r="G17" s="29">
        <f t="shared" si="3"/>
        <v>5400</v>
      </c>
      <c r="H17" s="29">
        <f t="shared" si="3"/>
        <v>18500</v>
      </c>
      <c r="I17" s="30">
        <f>SUM(C17:H17)</f>
        <v>60000</v>
      </c>
    </row>
    <row r="18" spans="2:9" ht="15" customHeight="1" x14ac:dyDescent="0.3">
      <c r="B18" s="11" t="s">
        <v>194</v>
      </c>
      <c r="C18" s="29">
        <f t="shared" ref="C18:H18" si="4">C14*$C$9</f>
        <v>17600</v>
      </c>
      <c r="D18" s="29">
        <f t="shared" si="4"/>
        <v>15200</v>
      </c>
      <c r="E18" s="29">
        <f t="shared" si="4"/>
        <v>16800</v>
      </c>
      <c r="F18" s="29">
        <f t="shared" si="4"/>
        <v>16800</v>
      </c>
      <c r="G18" s="29">
        <f t="shared" si="4"/>
        <v>17600</v>
      </c>
      <c r="H18" s="29">
        <f t="shared" si="4"/>
        <v>16000</v>
      </c>
      <c r="I18" s="30">
        <f>SUM(C18:H18)</f>
        <v>100000</v>
      </c>
    </row>
    <row r="20" spans="2:9" ht="15" customHeight="1" x14ac:dyDescent="0.3">
      <c r="G20" s="3" t="s">
        <v>195</v>
      </c>
      <c r="I20" s="31">
        <f>I17+I18</f>
        <v>160000</v>
      </c>
    </row>
    <row r="22" spans="2:9" ht="15" customHeight="1" x14ac:dyDescent="0.3">
      <c r="B22" s="3" t="s">
        <v>214</v>
      </c>
    </row>
    <row r="23" spans="2:9" ht="15" customHeight="1" x14ac:dyDescent="0.3">
      <c r="B23" s="4" t="s">
        <v>215</v>
      </c>
    </row>
    <row r="24" spans="2:9" ht="15" customHeight="1" x14ac:dyDescent="0.3">
      <c r="B24" s="4" t="s">
        <v>216</v>
      </c>
    </row>
    <row r="25" spans="2:9" ht="15" customHeight="1" x14ac:dyDescent="0.3">
      <c r="B25" s="4" t="s">
        <v>217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F17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0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218</v>
      </c>
    </row>
    <row r="2" spans="2:6" ht="15" customHeight="1" x14ac:dyDescent="0.3">
      <c r="B2" s="2" t="s">
        <v>219</v>
      </c>
    </row>
    <row r="4" spans="2:6" ht="15" customHeight="1" x14ac:dyDescent="0.3">
      <c r="B4" s="3" t="s">
        <v>220</v>
      </c>
      <c r="F4" s="3" t="s">
        <v>221</v>
      </c>
    </row>
    <row r="5" spans="2:6" ht="15" customHeight="1" x14ac:dyDescent="0.3">
      <c r="B5" s="11" t="s">
        <v>222</v>
      </c>
      <c r="C5" s="19">
        <v>1000</v>
      </c>
      <c r="D5" s="11" t="s">
        <v>223</v>
      </c>
      <c r="F5" s="4" t="s">
        <v>224</v>
      </c>
    </row>
    <row r="6" spans="2:6" ht="15" customHeight="1" x14ac:dyDescent="0.3">
      <c r="B6" s="11" t="s">
        <v>225</v>
      </c>
      <c r="C6" s="19">
        <v>20</v>
      </c>
      <c r="D6" s="11" t="s">
        <v>226</v>
      </c>
      <c r="F6" s="4" t="s">
        <v>227</v>
      </c>
    </row>
    <row r="7" spans="2:6" ht="15" customHeight="1" x14ac:dyDescent="0.3">
      <c r="B7" s="11" t="s">
        <v>228</v>
      </c>
      <c r="C7" s="19">
        <v>5</v>
      </c>
      <c r="D7" s="11" t="s">
        <v>226</v>
      </c>
    </row>
    <row r="8" spans="2:6" ht="15" customHeight="1" x14ac:dyDescent="0.3">
      <c r="B8" s="11" t="s">
        <v>229</v>
      </c>
      <c r="C8" s="19">
        <v>4</v>
      </c>
      <c r="D8" s="11" t="s">
        <v>230</v>
      </c>
      <c r="F8" s="4" t="s">
        <v>231</v>
      </c>
    </row>
    <row r="9" spans="2:6" ht="15" customHeight="1" x14ac:dyDescent="0.3">
      <c r="B9" s="11" t="s">
        <v>232</v>
      </c>
      <c r="C9" s="19">
        <v>50</v>
      </c>
      <c r="D9" s="11" t="s">
        <v>233</v>
      </c>
      <c r="F9" s="4" t="s">
        <v>234</v>
      </c>
    </row>
    <row r="10" spans="2:6" ht="15" customHeight="1" x14ac:dyDescent="0.3">
      <c r="B10" s="11" t="s">
        <v>235</v>
      </c>
      <c r="C10" s="19">
        <v>2</v>
      </c>
      <c r="D10" s="11" t="s">
        <v>233</v>
      </c>
      <c r="F10" s="4" t="s">
        <v>236</v>
      </c>
    </row>
    <row r="12" spans="2:6" ht="15" customHeight="1" x14ac:dyDescent="0.3">
      <c r="B12" s="3" t="s">
        <v>237</v>
      </c>
      <c r="F12" s="4" t="s">
        <v>238</v>
      </c>
    </row>
    <row r="13" spans="2:6" ht="15" customHeight="1" x14ac:dyDescent="0.3">
      <c r="B13" s="11" t="s">
        <v>239</v>
      </c>
      <c r="C13" s="32">
        <f>SQRT(2*C5*C7/C8)</f>
        <v>50</v>
      </c>
      <c r="D13" s="11" t="s">
        <v>223</v>
      </c>
      <c r="F13" s="4" t="s">
        <v>240</v>
      </c>
    </row>
    <row r="14" spans="2:6" ht="15" customHeight="1" x14ac:dyDescent="0.3">
      <c r="B14" s="11" t="s">
        <v>241</v>
      </c>
      <c r="C14" s="32">
        <f>C5/C13*C7</f>
        <v>100</v>
      </c>
      <c r="D14" s="11" t="s">
        <v>226</v>
      </c>
    </row>
    <row r="15" spans="2:6" ht="15" customHeight="1" x14ac:dyDescent="0.3">
      <c r="B15" s="11" t="s">
        <v>242</v>
      </c>
      <c r="C15" s="32">
        <f>C13/2*C8</f>
        <v>100</v>
      </c>
      <c r="D15" s="11" t="s">
        <v>226</v>
      </c>
    </row>
    <row r="16" spans="2:6" ht="15" customHeight="1" x14ac:dyDescent="0.3">
      <c r="B16" s="11" t="s">
        <v>243</v>
      </c>
      <c r="C16" s="32">
        <f>C5/C9</f>
        <v>20</v>
      </c>
      <c r="D16" s="11" t="s">
        <v>244</v>
      </c>
    </row>
    <row r="17" spans="2:4" ht="15" customHeight="1" x14ac:dyDescent="0.3">
      <c r="B17" s="11" t="s">
        <v>245</v>
      </c>
      <c r="C17" s="32">
        <f>C16*C10</f>
        <v>40</v>
      </c>
      <c r="D17" s="11" t="s">
        <v>223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F13"/>
  <sheetViews>
    <sheetView zoomScaleNormal="100" workbookViewId="0">
      <selection activeCell="F30" sqref="F30"/>
    </sheetView>
  </sheetViews>
  <sheetFormatPr defaultColWidth="8.6640625" defaultRowHeight="14.4" x14ac:dyDescent="0.3"/>
  <cols>
    <col min="1" max="1" width="3" customWidth="1"/>
    <col min="2" max="2" width="35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246</v>
      </c>
    </row>
    <row r="2" spans="2:6" ht="15" customHeight="1" x14ac:dyDescent="0.3">
      <c r="B2" s="2" t="s">
        <v>247</v>
      </c>
    </row>
    <row r="4" spans="2:6" ht="15" customHeight="1" x14ac:dyDescent="0.3">
      <c r="B4" s="3" t="s">
        <v>220</v>
      </c>
      <c r="F4" s="3" t="s">
        <v>248</v>
      </c>
    </row>
    <row r="5" spans="2:6" ht="15" customHeight="1" x14ac:dyDescent="0.3">
      <c r="B5" s="11" t="s">
        <v>249</v>
      </c>
      <c r="C5" s="19">
        <v>12</v>
      </c>
      <c r="D5" s="11" t="s">
        <v>250</v>
      </c>
      <c r="F5" s="4" t="s">
        <v>251</v>
      </c>
    </row>
    <row r="6" spans="2:6" ht="15" customHeight="1" x14ac:dyDescent="0.3">
      <c r="B6" s="11" t="s">
        <v>235</v>
      </c>
      <c r="C6" s="19">
        <v>5</v>
      </c>
      <c r="D6" s="11" t="s">
        <v>252</v>
      </c>
      <c r="F6" s="4">
        <f>(12 * 5) + (1.96 * 3)</f>
        <v>65.88</v>
      </c>
    </row>
    <row r="7" spans="2:6" ht="15" customHeight="1" x14ac:dyDescent="0.3">
      <c r="B7" s="11" t="s">
        <v>253</v>
      </c>
      <c r="C7" s="19">
        <v>1.96</v>
      </c>
      <c r="D7" s="11"/>
      <c r="F7" s="4" t="s">
        <v>254</v>
      </c>
    </row>
    <row r="8" spans="2:6" ht="15" customHeight="1" x14ac:dyDescent="0.3">
      <c r="B8" s="11" t="s">
        <v>255</v>
      </c>
      <c r="C8" s="19">
        <v>3</v>
      </c>
      <c r="D8" s="11" t="s">
        <v>223</v>
      </c>
    </row>
    <row r="9" spans="2:6" ht="15" customHeight="1" x14ac:dyDescent="0.3">
      <c r="F9" s="4" t="s">
        <v>256</v>
      </c>
    </row>
    <row r="10" spans="2:6" ht="15" customHeight="1" x14ac:dyDescent="0.3">
      <c r="B10" s="3" t="s">
        <v>257</v>
      </c>
      <c r="F10" s="4" t="s">
        <v>258</v>
      </c>
    </row>
    <row r="11" spans="2:6" ht="15" customHeight="1" x14ac:dyDescent="0.3">
      <c r="B11" s="11" t="s">
        <v>259</v>
      </c>
      <c r="C11" s="32">
        <f>C5*C6</f>
        <v>60</v>
      </c>
      <c r="D11" s="11" t="s">
        <v>223</v>
      </c>
    </row>
    <row r="12" spans="2:6" ht="15" customHeight="1" x14ac:dyDescent="0.3">
      <c r="B12" s="11" t="s">
        <v>260</v>
      </c>
      <c r="C12" s="32">
        <f>C7*C8</f>
        <v>5.88</v>
      </c>
      <c r="D12" s="11" t="s">
        <v>223</v>
      </c>
    </row>
    <row r="13" spans="2:6" ht="15" customHeight="1" x14ac:dyDescent="0.3">
      <c r="B13" s="11" t="s">
        <v>261</v>
      </c>
      <c r="C13" s="32">
        <f>C11+C12</f>
        <v>65.88</v>
      </c>
      <c r="D13" s="11" t="s">
        <v>223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F29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5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262</v>
      </c>
    </row>
    <row r="2" spans="2:6" ht="15" customHeight="1" x14ac:dyDescent="0.3">
      <c r="B2" s="2" t="s">
        <v>263</v>
      </c>
    </row>
    <row r="4" spans="2:6" ht="15" customHeight="1" x14ac:dyDescent="0.3">
      <c r="B4" s="3" t="s">
        <v>264</v>
      </c>
      <c r="F4" s="3" t="s">
        <v>265</v>
      </c>
    </row>
    <row r="5" spans="2:6" ht="15" customHeight="1" x14ac:dyDescent="0.3">
      <c r="B5" s="11" t="s">
        <v>266</v>
      </c>
      <c r="C5" s="19">
        <v>120</v>
      </c>
      <c r="D5" s="11" t="s">
        <v>223</v>
      </c>
      <c r="F5" s="4" t="s">
        <v>267</v>
      </c>
    </row>
    <row r="6" spans="2:6" ht="15" customHeight="1" x14ac:dyDescent="0.3">
      <c r="B6" s="11" t="s">
        <v>268</v>
      </c>
      <c r="C6" s="19">
        <v>30</v>
      </c>
      <c r="D6" s="11" t="s">
        <v>223</v>
      </c>
    </row>
    <row r="7" spans="2:6" ht="15" customHeight="1" x14ac:dyDescent="0.3">
      <c r="B7" s="11" t="s">
        <v>269</v>
      </c>
      <c r="C7" s="19">
        <v>14</v>
      </c>
      <c r="D7" s="11" t="s">
        <v>252</v>
      </c>
      <c r="F7" s="4" t="s">
        <v>270</v>
      </c>
    </row>
    <row r="8" spans="2:6" ht="15" customHeight="1" x14ac:dyDescent="0.3">
      <c r="B8" s="11" t="s">
        <v>235</v>
      </c>
      <c r="C8" s="19">
        <v>7</v>
      </c>
      <c r="D8" s="11" t="s">
        <v>252</v>
      </c>
      <c r="F8" s="4" t="s">
        <v>271</v>
      </c>
    </row>
    <row r="9" spans="2:6" ht="15" customHeight="1" x14ac:dyDescent="0.3">
      <c r="B9" s="11" t="s">
        <v>272</v>
      </c>
      <c r="C9" s="19">
        <v>130</v>
      </c>
      <c r="D9" s="11" t="s">
        <v>223</v>
      </c>
      <c r="F9" s="4" t="s">
        <v>273</v>
      </c>
    </row>
    <row r="10" spans="2:6" ht="15" customHeight="1" x14ac:dyDescent="0.3">
      <c r="B10" s="11" t="s">
        <v>274</v>
      </c>
      <c r="C10" s="19">
        <v>0.99</v>
      </c>
      <c r="D10" s="11"/>
      <c r="F10" s="4" t="s">
        <v>275</v>
      </c>
    </row>
    <row r="11" spans="2:6" ht="15" customHeight="1" x14ac:dyDescent="0.3">
      <c r="B11" s="11" t="s">
        <v>276</v>
      </c>
      <c r="C11" s="19">
        <v>2.33</v>
      </c>
      <c r="D11" s="11"/>
    </row>
    <row r="12" spans="2:6" ht="15" customHeight="1" x14ac:dyDescent="0.3">
      <c r="F12" s="3" t="s">
        <v>277</v>
      </c>
    </row>
    <row r="13" spans="2:6" ht="15" customHeight="1" x14ac:dyDescent="0.3">
      <c r="B13" s="3" t="s">
        <v>257</v>
      </c>
      <c r="F13" s="4" t="s">
        <v>278</v>
      </c>
    </row>
    <row r="14" spans="2:6" ht="15" customHeight="1" x14ac:dyDescent="0.3">
      <c r="B14" s="11" t="s">
        <v>273</v>
      </c>
      <c r="C14" s="32">
        <f>C6*SQRT(C7+C8)</f>
        <v>137.4772708486752</v>
      </c>
      <c r="D14" s="11" t="s">
        <v>223</v>
      </c>
      <c r="F14" s="4" t="s">
        <v>279</v>
      </c>
    </row>
    <row r="15" spans="2:6" ht="15" customHeight="1" x14ac:dyDescent="0.3">
      <c r="B15" s="11" t="s">
        <v>280</v>
      </c>
      <c r="C15" s="32">
        <f>C5*(C7+C8)+C11*C14-C9</f>
        <v>2710.3220410774134</v>
      </c>
      <c r="D15" s="11" t="s">
        <v>223</v>
      </c>
    </row>
    <row r="18" spans="2:4" ht="15" customHeight="1" x14ac:dyDescent="0.3">
      <c r="B18" s="3" t="s">
        <v>281</v>
      </c>
    </row>
    <row r="19" spans="2:4" ht="15" customHeight="1" x14ac:dyDescent="0.3">
      <c r="B19" s="11" t="s">
        <v>266</v>
      </c>
      <c r="C19" s="19">
        <v>20</v>
      </c>
      <c r="D19" s="11" t="s">
        <v>223</v>
      </c>
    </row>
    <row r="20" spans="2:4" ht="15" customHeight="1" x14ac:dyDescent="0.3">
      <c r="B20" s="11" t="s">
        <v>268</v>
      </c>
      <c r="C20" s="19">
        <v>5</v>
      </c>
      <c r="D20" s="11" t="s">
        <v>223</v>
      </c>
    </row>
    <row r="21" spans="2:4" ht="15" customHeight="1" x14ac:dyDescent="0.3">
      <c r="B21" s="11" t="s">
        <v>269</v>
      </c>
      <c r="C21" s="19">
        <v>14</v>
      </c>
      <c r="D21" s="11" t="s">
        <v>252</v>
      </c>
    </row>
    <row r="22" spans="2:4" ht="15" customHeight="1" x14ac:dyDescent="0.3">
      <c r="B22" s="11" t="s">
        <v>235</v>
      </c>
      <c r="C22" s="19">
        <v>7</v>
      </c>
      <c r="D22" s="11" t="s">
        <v>252</v>
      </c>
    </row>
    <row r="23" spans="2:4" ht="15" customHeight="1" x14ac:dyDescent="0.3">
      <c r="B23" s="11" t="s">
        <v>272</v>
      </c>
      <c r="C23" s="19">
        <v>180</v>
      </c>
      <c r="D23" s="11" t="s">
        <v>223</v>
      </c>
    </row>
    <row r="24" spans="2:4" ht="15" customHeight="1" x14ac:dyDescent="0.3">
      <c r="B24" s="11" t="s">
        <v>274</v>
      </c>
      <c r="C24" s="19">
        <v>0.95</v>
      </c>
      <c r="D24" s="11"/>
    </row>
    <row r="25" spans="2:4" ht="15" customHeight="1" x14ac:dyDescent="0.3">
      <c r="B25" s="11" t="s">
        <v>282</v>
      </c>
      <c r="C25" s="19">
        <v>1.645</v>
      </c>
      <c r="D25" s="11"/>
    </row>
    <row r="27" spans="2:4" ht="15" customHeight="1" x14ac:dyDescent="0.3">
      <c r="B27" s="3" t="s">
        <v>257</v>
      </c>
    </row>
    <row r="28" spans="2:4" ht="15" customHeight="1" x14ac:dyDescent="0.3">
      <c r="B28" s="11" t="s">
        <v>273</v>
      </c>
      <c r="C28" s="32">
        <f>C20*SQRT(C21+C22)</f>
        <v>22.912878474779198</v>
      </c>
      <c r="D28" s="11" t="s">
        <v>223</v>
      </c>
    </row>
    <row r="29" spans="2:4" ht="15" customHeight="1" x14ac:dyDescent="0.3">
      <c r="B29" s="11" t="s">
        <v>280</v>
      </c>
      <c r="C29" s="32">
        <f>C19*(C21+C22)+C25*C28-C23</f>
        <v>277.69168509101178</v>
      </c>
      <c r="D29" s="11" t="s">
        <v>223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I21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0" customWidth="1"/>
    <col min="3" max="3" width="16" customWidth="1"/>
    <col min="4" max="5" width="14" customWidth="1"/>
    <col min="6" max="7" width="16" customWidth="1"/>
    <col min="8" max="8" width="3" customWidth="1"/>
    <col min="9" max="9" width="50" customWidth="1"/>
  </cols>
  <sheetData>
    <row r="1" spans="2:9" ht="17.25" customHeight="1" x14ac:dyDescent="0.3">
      <c r="B1" s="9" t="s">
        <v>283</v>
      </c>
    </row>
    <row r="2" spans="2:9" ht="15" customHeight="1" x14ac:dyDescent="0.3">
      <c r="B2" s="2" t="s">
        <v>284</v>
      </c>
    </row>
    <row r="4" spans="2:9" ht="15" customHeight="1" x14ac:dyDescent="0.3">
      <c r="B4" s="3" t="s">
        <v>285</v>
      </c>
      <c r="I4" s="3" t="s">
        <v>286</v>
      </c>
    </row>
    <row r="5" spans="2:9" ht="15" customHeight="1" x14ac:dyDescent="0.3">
      <c r="B5" s="11" t="s">
        <v>222</v>
      </c>
      <c r="C5" s="19">
        <v>200000</v>
      </c>
      <c r="D5" s="4" t="s">
        <v>223</v>
      </c>
      <c r="I5" s="4" t="s">
        <v>287</v>
      </c>
    </row>
    <row r="6" spans="2:9" ht="15" customHeight="1" x14ac:dyDescent="0.3">
      <c r="B6" s="11" t="s">
        <v>288</v>
      </c>
      <c r="C6" s="19">
        <v>300</v>
      </c>
      <c r="D6" s="4" t="s">
        <v>289</v>
      </c>
      <c r="I6" s="4" t="s">
        <v>290</v>
      </c>
    </row>
    <row r="7" spans="2:9" ht="15" customHeight="1" x14ac:dyDescent="0.3">
      <c r="B7" s="11" t="s">
        <v>291</v>
      </c>
      <c r="C7" s="26">
        <v>0.15</v>
      </c>
      <c r="D7" s="4" t="s">
        <v>292</v>
      </c>
      <c r="I7" s="4" t="s">
        <v>293</v>
      </c>
    </row>
    <row r="8" spans="2:9" ht="15" customHeight="1" x14ac:dyDescent="0.3">
      <c r="I8" s="4" t="s">
        <v>294</v>
      </c>
    </row>
    <row r="9" spans="2:9" ht="15" customHeight="1" x14ac:dyDescent="0.3">
      <c r="B9" s="3" t="s">
        <v>295</v>
      </c>
      <c r="I9" s="4" t="s">
        <v>296</v>
      </c>
    </row>
    <row r="10" spans="2:9" ht="15" customHeight="1" x14ac:dyDescent="0.3">
      <c r="B10" s="10" t="s">
        <v>297</v>
      </c>
      <c r="C10" s="10" t="s">
        <v>298</v>
      </c>
      <c r="D10" s="10" t="s">
        <v>299</v>
      </c>
      <c r="I10" s="4" t="s">
        <v>300</v>
      </c>
    </row>
    <row r="11" spans="2:9" ht="15" customHeight="1" x14ac:dyDescent="0.3">
      <c r="B11" s="13" t="s">
        <v>301</v>
      </c>
      <c r="C11" s="19">
        <v>1000</v>
      </c>
      <c r="D11" s="33">
        <v>2.2999999999999998</v>
      </c>
    </row>
    <row r="12" spans="2:9" ht="15" customHeight="1" x14ac:dyDescent="0.3">
      <c r="B12" s="13" t="s">
        <v>302</v>
      </c>
      <c r="C12" s="19">
        <v>10000</v>
      </c>
      <c r="D12" s="33">
        <v>2.2000000000000002</v>
      </c>
      <c r="I12" s="4" t="s">
        <v>303</v>
      </c>
    </row>
    <row r="13" spans="2:9" ht="15" customHeight="1" x14ac:dyDescent="0.3">
      <c r="B13" s="13" t="s">
        <v>304</v>
      </c>
      <c r="C13" s="19">
        <v>30000</v>
      </c>
      <c r="D13" s="33">
        <v>2.15</v>
      </c>
    </row>
    <row r="15" spans="2:9" ht="15" customHeight="1" x14ac:dyDescent="0.3">
      <c r="B15" s="3" t="s">
        <v>305</v>
      </c>
    </row>
    <row r="16" spans="2:9" ht="15" customHeight="1" x14ac:dyDescent="0.3">
      <c r="B16" s="10" t="s">
        <v>306</v>
      </c>
      <c r="C16" s="10" t="s">
        <v>307</v>
      </c>
      <c r="D16" s="10" t="s">
        <v>308</v>
      </c>
      <c r="E16" s="10" t="s">
        <v>309</v>
      </c>
      <c r="F16" s="10" t="s">
        <v>310</v>
      </c>
      <c r="G16" s="10" t="s">
        <v>311</v>
      </c>
    </row>
    <row r="17" spans="2:7" ht="15" customHeight="1" x14ac:dyDescent="0.3">
      <c r="B17" s="33">
        <v>2.15</v>
      </c>
      <c r="C17" s="34">
        <f>$C$7*B17</f>
        <v>0.32249999999999995</v>
      </c>
      <c r="D17" s="35">
        <f>SQRT(2*$C$5*$C$6/C17)</f>
        <v>19289.712886816487</v>
      </c>
      <c r="E17" s="11" t="s">
        <v>312</v>
      </c>
      <c r="F17" s="36">
        <v>30000</v>
      </c>
      <c r="G17" s="30">
        <f>$C$5*B17+($C$5/F17)*$C$6+(F17/2)*C17</f>
        <v>436837.5</v>
      </c>
    </row>
    <row r="18" spans="2:7" ht="15" customHeight="1" x14ac:dyDescent="0.3">
      <c r="B18" s="33">
        <v>2.2000000000000002</v>
      </c>
      <c r="C18" s="34">
        <f>$C$7*B18</f>
        <v>0.33</v>
      </c>
      <c r="D18" s="35">
        <f>SQRT(2*$C$5*$C$6/C18)</f>
        <v>19069.251784911845</v>
      </c>
      <c r="E18" s="11" t="s">
        <v>313</v>
      </c>
      <c r="F18" s="36">
        <f>D18</f>
        <v>19069.251784911845</v>
      </c>
      <c r="G18" s="30">
        <f>$C$5*B18+($C$5/F18)*$C$6+(F18/2)*C18</f>
        <v>446292.85308902099</v>
      </c>
    </row>
    <row r="19" spans="2:7" ht="15" customHeight="1" x14ac:dyDescent="0.3">
      <c r="B19" s="33">
        <v>2.2999999999999998</v>
      </c>
      <c r="C19" s="34">
        <f>$C$7*B19</f>
        <v>0.34499999999999997</v>
      </c>
      <c r="D19" s="35">
        <f>SQRT(2*$C$5*$C$6/C19)</f>
        <v>18650.096164806277</v>
      </c>
      <c r="E19" s="11" t="s">
        <v>314</v>
      </c>
    </row>
    <row r="21" spans="2:7" ht="15" customHeight="1" x14ac:dyDescent="0.3">
      <c r="B21" s="37" t="s">
        <v>315</v>
      </c>
      <c r="C21" s="38" t="str">
        <f>IF(G17&lt;G18,"30,000 @ $2.15","EOQ @ $2.20")</f>
        <v>30,000 @ $2.15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F24"/>
  <sheetViews>
    <sheetView zoomScaleNormal="100" workbookViewId="0">
      <selection activeCell="F27" sqref="F27"/>
    </sheetView>
  </sheetViews>
  <sheetFormatPr defaultColWidth="8.6640625" defaultRowHeight="14.4" x14ac:dyDescent="0.3"/>
  <cols>
    <col min="1" max="1" width="3" customWidth="1"/>
    <col min="2" max="2" width="30" customWidth="1"/>
    <col min="3" max="3" width="16" customWidth="1"/>
    <col min="4" max="4" width="14" customWidth="1"/>
    <col min="5" max="5" width="3" customWidth="1"/>
    <col min="6" max="6" width="50" customWidth="1"/>
  </cols>
  <sheetData>
    <row r="1" spans="2:6" ht="17.25" customHeight="1" x14ac:dyDescent="0.3">
      <c r="B1" s="9" t="s">
        <v>316</v>
      </c>
    </row>
    <row r="2" spans="2:6" ht="15" customHeight="1" x14ac:dyDescent="0.3">
      <c r="B2" s="2" t="s">
        <v>317</v>
      </c>
    </row>
    <row r="4" spans="2:6" ht="15" customHeight="1" x14ac:dyDescent="0.3">
      <c r="B4" s="3" t="s">
        <v>285</v>
      </c>
      <c r="F4" s="3" t="s">
        <v>318</v>
      </c>
    </row>
    <row r="5" spans="2:6" ht="15" customHeight="1" x14ac:dyDescent="0.3">
      <c r="B5" s="11" t="s">
        <v>319</v>
      </c>
      <c r="C5" s="19">
        <v>100</v>
      </c>
      <c r="D5" s="4" t="s">
        <v>320</v>
      </c>
      <c r="F5" s="4" t="s">
        <v>321</v>
      </c>
    </row>
    <row r="6" spans="2:6" ht="15" customHeight="1" x14ac:dyDescent="0.3">
      <c r="B6" s="11" t="s">
        <v>322</v>
      </c>
      <c r="C6" s="19">
        <v>70</v>
      </c>
      <c r="D6" s="4" t="s">
        <v>320</v>
      </c>
      <c r="F6" s="4" t="b">
        <f>30 / (30 + 50) = 0.375</f>
        <v>1</v>
      </c>
    </row>
    <row r="7" spans="2:6" ht="15" customHeight="1" x14ac:dyDescent="0.3">
      <c r="B7" s="11" t="s">
        <v>323</v>
      </c>
      <c r="C7" s="19">
        <v>20</v>
      </c>
      <c r="D7" s="4" t="s">
        <v>320</v>
      </c>
    </row>
    <row r="8" spans="2:6" ht="15" customHeight="1" x14ac:dyDescent="0.3">
      <c r="F8" s="4" t="s">
        <v>324</v>
      </c>
    </row>
    <row r="9" spans="2:6" ht="15" customHeight="1" x14ac:dyDescent="0.3">
      <c r="B9" s="3" t="s">
        <v>325</v>
      </c>
      <c r="F9" s="4" t="s">
        <v>326</v>
      </c>
    </row>
    <row r="10" spans="2:6" ht="15" customHeight="1" x14ac:dyDescent="0.3">
      <c r="B10" s="11" t="s">
        <v>327</v>
      </c>
      <c r="C10" s="39">
        <f>C5-C6</f>
        <v>30</v>
      </c>
      <c r="D10" s="4" t="s">
        <v>320</v>
      </c>
    </row>
    <row r="11" spans="2:6" ht="15" customHeight="1" x14ac:dyDescent="0.3">
      <c r="B11" s="11" t="s">
        <v>328</v>
      </c>
      <c r="C11" s="39">
        <f>C6-C7</f>
        <v>50</v>
      </c>
      <c r="D11" s="4" t="s">
        <v>320</v>
      </c>
      <c r="F11" s="4" t="s">
        <v>329</v>
      </c>
    </row>
    <row r="12" spans="2:6" ht="15" customHeight="1" x14ac:dyDescent="0.3">
      <c r="B12" s="11" t="s">
        <v>330</v>
      </c>
      <c r="C12" s="39">
        <f>C10/(C10+C11)</f>
        <v>0.375</v>
      </c>
      <c r="D12" s="4"/>
      <c r="F12" s="4" t="s">
        <v>331</v>
      </c>
    </row>
    <row r="14" spans="2:6" ht="15" customHeight="1" x14ac:dyDescent="0.3">
      <c r="B14" s="3" t="s">
        <v>332</v>
      </c>
      <c r="F14" s="4" t="s">
        <v>333</v>
      </c>
    </row>
    <row r="15" spans="2:6" ht="26.25" customHeight="1" x14ac:dyDescent="0.3">
      <c r="B15" s="10" t="s">
        <v>334</v>
      </c>
      <c r="C15" s="10" t="s">
        <v>335</v>
      </c>
      <c r="D15" s="10" t="s">
        <v>336</v>
      </c>
      <c r="F15" s="4" t="s">
        <v>337</v>
      </c>
    </row>
    <row r="16" spans="2:6" ht="15" customHeight="1" x14ac:dyDescent="0.3">
      <c r="B16" s="19">
        <v>35</v>
      </c>
      <c r="C16" s="40">
        <v>0.1</v>
      </c>
      <c r="D16" s="20">
        <v>0.1</v>
      </c>
    </row>
    <row r="17" spans="2:4" ht="15" customHeight="1" x14ac:dyDescent="0.3">
      <c r="B17" s="19">
        <v>36</v>
      </c>
      <c r="C17" s="40">
        <v>0.2</v>
      </c>
      <c r="D17" s="20">
        <v>0.3</v>
      </c>
    </row>
    <row r="18" spans="2:4" ht="15" customHeight="1" x14ac:dyDescent="0.3">
      <c r="B18" s="19">
        <v>37</v>
      </c>
      <c r="C18" s="40">
        <v>0.3</v>
      </c>
      <c r="D18" s="20">
        <v>0.6</v>
      </c>
    </row>
    <row r="19" spans="2:4" ht="15" customHeight="1" x14ac:dyDescent="0.3">
      <c r="B19" s="19">
        <v>38</v>
      </c>
      <c r="C19" s="40">
        <v>0.2</v>
      </c>
      <c r="D19" s="20">
        <v>0.8</v>
      </c>
    </row>
    <row r="20" spans="2:4" ht="15" customHeight="1" x14ac:dyDescent="0.3">
      <c r="B20" s="19">
        <v>39</v>
      </c>
      <c r="C20" s="40">
        <v>0.1</v>
      </c>
      <c r="D20" s="20">
        <v>0.9</v>
      </c>
    </row>
    <row r="21" spans="2:4" ht="15" customHeight="1" x14ac:dyDescent="0.3">
      <c r="B21" s="19">
        <v>40</v>
      </c>
      <c r="C21" s="40">
        <v>0.1</v>
      </c>
      <c r="D21" s="20">
        <v>1</v>
      </c>
    </row>
    <row r="23" spans="2:4" ht="15" customHeight="1" x14ac:dyDescent="0.3">
      <c r="B23" s="41" t="s">
        <v>338</v>
      </c>
    </row>
    <row r="24" spans="2:4" ht="15" customHeight="1" x14ac:dyDescent="0.3">
      <c r="B24" s="4" t="s">
        <v>339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L64"/>
  <sheetViews>
    <sheetView topLeftCell="A38" zoomScaleNormal="100" workbookViewId="0">
      <selection activeCell="L25" sqref="L25"/>
    </sheetView>
  </sheetViews>
  <sheetFormatPr defaultColWidth="8.6640625" defaultRowHeight="14.4" x14ac:dyDescent="0.3"/>
  <cols>
    <col min="1" max="1" width="3" customWidth="1"/>
    <col min="2" max="2" width="22" customWidth="1"/>
    <col min="3" max="10" width="10" customWidth="1"/>
    <col min="11" max="11" width="3" customWidth="1"/>
    <col min="12" max="12" width="45" customWidth="1"/>
  </cols>
  <sheetData>
    <row r="1" spans="2:12" ht="17.25" customHeight="1" x14ac:dyDescent="0.3">
      <c r="B1" s="9" t="s">
        <v>340</v>
      </c>
    </row>
    <row r="2" spans="2:12" ht="15" customHeight="1" x14ac:dyDescent="0.3">
      <c r="B2" s="2" t="s">
        <v>341</v>
      </c>
    </row>
    <row r="4" spans="2:12" ht="15" customHeight="1" x14ac:dyDescent="0.3">
      <c r="B4" s="3" t="s">
        <v>342</v>
      </c>
      <c r="L4" s="3" t="s">
        <v>343</v>
      </c>
    </row>
    <row r="5" spans="2:12" ht="26.25" customHeight="1" x14ac:dyDescent="0.3">
      <c r="B5" s="10" t="s">
        <v>344</v>
      </c>
      <c r="C5" s="10" t="s">
        <v>345</v>
      </c>
      <c r="D5" s="10" t="s">
        <v>346</v>
      </c>
      <c r="E5" s="10" t="s">
        <v>347</v>
      </c>
      <c r="F5" s="10" t="s">
        <v>348</v>
      </c>
      <c r="L5" s="4" t="s">
        <v>349</v>
      </c>
    </row>
    <row r="6" spans="2:12" ht="15" customHeight="1" x14ac:dyDescent="0.3">
      <c r="B6" s="12" t="s">
        <v>350</v>
      </c>
      <c r="C6" s="12">
        <v>20</v>
      </c>
      <c r="D6" s="12" t="s">
        <v>351</v>
      </c>
      <c r="E6" s="12" t="s">
        <v>352</v>
      </c>
      <c r="F6" s="12" t="s">
        <v>353</v>
      </c>
      <c r="L6" s="4" t="s">
        <v>354</v>
      </c>
    </row>
    <row r="7" spans="2:12" ht="15" customHeight="1" x14ac:dyDescent="0.3">
      <c r="B7" s="12" t="s">
        <v>355</v>
      </c>
      <c r="C7" s="12">
        <v>0</v>
      </c>
      <c r="D7" s="12" t="s">
        <v>356</v>
      </c>
      <c r="E7" s="12" t="s">
        <v>352</v>
      </c>
      <c r="F7" s="12" t="s">
        <v>353</v>
      </c>
      <c r="L7" s="4" t="s">
        <v>357</v>
      </c>
    </row>
    <row r="8" spans="2:12" ht="15" customHeight="1" x14ac:dyDescent="0.3">
      <c r="B8" s="12" t="s">
        <v>358</v>
      </c>
      <c r="C8" s="12">
        <v>10</v>
      </c>
      <c r="D8" s="12" t="s">
        <v>359</v>
      </c>
      <c r="E8" s="12" t="s">
        <v>352</v>
      </c>
      <c r="F8" s="12" t="s">
        <v>360</v>
      </c>
      <c r="L8" s="4" t="s">
        <v>361</v>
      </c>
    </row>
    <row r="9" spans="2:12" ht="15" customHeight="1" x14ac:dyDescent="0.3">
      <c r="B9" s="12" t="s">
        <v>362</v>
      </c>
      <c r="C9" s="12">
        <v>20</v>
      </c>
      <c r="D9" s="12" t="s">
        <v>351</v>
      </c>
      <c r="E9" s="12" t="s">
        <v>363</v>
      </c>
      <c r="F9" s="12" t="s">
        <v>364</v>
      </c>
      <c r="L9" s="4" t="s">
        <v>365</v>
      </c>
    </row>
    <row r="10" spans="2:12" ht="15" customHeight="1" x14ac:dyDescent="0.3">
      <c r="B10" s="12" t="s">
        <v>366</v>
      </c>
      <c r="C10" s="12">
        <v>10</v>
      </c>
      <c r="D10" s="12" t="s">
        <v>351</v>
      </c>
      <c r="E10" s="12" t="s">
        <v>363</v>
      </c>
      <c r="F10" s="12" t="s">
        <v>367</v>
      </c>
    </row>
    <row r="11" spans="2:12" ht="15" customHeight="1" x14ac:dyDescent="0.3">
      <c r="L11" s="3" t="s">
        <v>368</v>
      </c>
    </row>
    <row r="12" spans="2:12" ht="15" customHeight="1" x14ac:dyDescent="0.3">
      <c r="B12" s="3" t="s">
        <v>369</v>
      </c>
      <c r="L12" s="4" t="s">
        <v>370</v>
      </c>
    </row>
    <row r="13" spans="2:12" ht="15" customHeight="1" x14ac:dyDescent="0.3">
      <c r="L13" s="4" t="s">
        <v>371</v>
      </c>
    </row>
    <row r="14" spans="2:12" ht="15" customHeight="1" x14ac:dyDescent="0.3">
      <c r="B14" s="2" t="s">
        <v>372</v>
      </c>
      <c r="C14" s="4" t="s">
        <v>373</v>
      </c>
      <c r="D14" s="4" t="s">
        <v>374</v>
      </c>
      <c r="L14" s="4" t="s">
        <v>375</v>
      </c>
    </row>
    <row r="15" spans="2:12" ht="26.25" customHeight="1" x14ac:dyDescent="0.3">
      <c r="B15" s="10"/>
      <c r="C15" s="10" t="s">
        <v>376</v>
      </c>
      <c r="D15" s="10" t="s">
        <v>377</v>
      </c>
      <c r="E15" s="10" t="s">
        <v>378</v>
      </c>
      <c r="F15" s="10" t="s">
        <v>379</v>
      </c>
      <c r="G15" s="10" t="s">
        <v>380</v>
      </c>
      <c r="H15" s="10" t="s">
        <v>381</v>
      </c>
      <c r="I15" s="10" t="s">
        <v>382</v>
      </c>
      <c r="J15" s="10" t="s">
        <v>383</v>
      </c>
      <c r="K15" s="10" t="s">
        <v>384</v>
      </c>
      <c r="L15" s="4" t="s">
        <v>385</v>
      </c>
    </row>
    <row r="16" spans="2:12" ht="15" customHeight="1" x14ac:dyDescent="0.3">
      <c r="B16" s="11" t="s">
        <v>386</v>
      </c>
      <c r="C16" s="11">
        <v>20</v>
      </c>
      <c r="D16" s="11"/>
      <c r="E16" s="11">
        <v>30</v>
      </c>
      <c r="F16" s="11"/>
      <c r="G16" s="11"/>
      <c r="H16" s="11">
        <v>30</v>
      </c>
      <c r="I16" s="11"/>
      <c r="J16" s="11"/>
      <c r="K16" s="11">
        <v>40</v>
      </c>
    </row>
    <row r="17" spans="2:11" ht="15" customHeight="1" x14ac:dyDescent="0.3">
      <c r="B17" s="11" t="s">
        <v>387</v>
      </c>
      <c r="C17" s="11"/>
      <c r="D17" s="11"/>
      <c r="E17" s="11"/>
      <c r="F17" s="11"/>
      <c r="G17" s="11"/>
      <c r="H17" s="11"/>
      <c r="I17" s="11"/>
      <c r="J17" s="11"/>
      <c r="K17" s="11"/>
    </row>
    <row r="18" spans="2:11" ht="15" customHeight="1" x14ac:dyDescent="0.3">
      <c r="B18" s="11" t="s">
        <v>388</v>
      </c>
      <c r="C18" s="21">
        <v>20</v>
      </c>
      <c r="D18" s="21">
        <v>20</v>
      </c>
      <c r="E18" s="21">
        <v>20</v>
      </c>
      <c r="F18" s="21"/>
      <c r="G18" s="21"/>
      <c r="H18" s="21"/>
      <c r="I18" s="21"/>
      <c r="J18" s="21"/>
      <c r="K18" s="21"/>
    </row>
    <row r="19" spans="2:11" ht="15" customHeight="1" x14ac:dyDescent="0.3">
      <c r="B19" s="11" t="s">
        <v>389</v>
      </c>
      <c r="C19" s="11"/>
      <c r="D19" s="11"/>
      <c r="E19" s="11">
        <v>10</v>
      </c>
      <c r="F19" s="11"/>
      <c r="G19" s="11"/>
      <c r="H19" s="11">
        <v>30</v>
      </c>
      <c r="I19" s="11"/>
      <c r="J19" s="11"/>
      <c r="K19" s="11">
        <v>40</v>
      </c>
    </row>
    <row r="20" spans="2:11" ht="15" customHeight="1" x14ac:dyDescent="0.3">
      <c r="B20" s="11" t="s">
        <v>390</v>
      </c>
      <c r="C20" s="11"/>
      <c r="D20" s="11"/>
      <c r="E20" s="11">
        <v>10</v>
      </c>
      <c r="F20" s="11"/>
      <c r="G20" s="11"/>
      <c r="H20" s="11">
        <v>30</v>
      </c>
      <c r="I20" s="11"/>
      <c r="J20" s="11"/>
      <c r="K20" s="11">
        <v>40</v>
      </c>
    </row>
    <row r="21" spans="2:11" ht="15" customHeight="1" x14ac:dyDescent="0.3">
      <c r="B21" s="11" t="s">
        <v>391</v>
      </c>
      <c r="C21" s="11"/>
      <c r="D21" s="28">
        <v>10</v>
      </c>
      <c r="E21" s="11"/>
      <c r="F21" s="11"/>
      <c r="G21" s="28">
        <v>30</v>
      </c>
      <c r="H21" s="11"/>
      <c r="I21" s="11"/>
      <c r="J21" s="28">
        <v>40</v>
      </c>
      <c r="K21" s="11"/>
    </row>
    <row r="23" spans="2:11" ht="15" customHeight="1" x14ac:dyDescent="0.3">
      <c r="B23" s="2" t="s">
        <v>392</v>
      </c>
      <c r="C23" s="4" t="s">
        <v>373</v>
      </c>
      <c r="D23" s="4" t="s">
        <v>374</v>
      </c>
    </row>
    <row r="24" spans="2:11" ht="26.25" customHeight="1" x14ac:dyDescent="0.3">
      <c r="B24" s="10"/>
      <c r="C24" s="10" t="s">
        <v>376</v>
      </c>
      <c r="D24" s="10" t="s">
        <v>377</v>
      </c>
      <c r="E24" s="10" t="s">
        <v>378</v>
      </c>
      <c r="F24" s="10" t="s">
        <v>379</v>
      </c>
      <c r="G24" s="10" t="s">
        <v>380</v>
      </c>
      <c r="H24" s="10" t="s">
        <v>381</v>
      </c>
      <c r="I24" s="10" t="s">
        <v>382</v>
      </c>
      <c r="J24" s="10" t="s">
        <v>383</v>
      </c>
      <c r="K24" s="10" t="s">
        <v>384</v>
      </c>
    </row>
    <row r="25" spans="2:11" ht="15" customHeight="1" x14ac:dyDescent="0.3">
      <c r="B25" s="11" t="s">
        <v>386</v>
      </c>
      <c r="C25" s="11"/>
      <c r="D25" s="11">
        <v>10</v>
      </c>
      <c r="E25" s="11"/>
      <c r="F25" s="11"/>
      <c r="G25" s="11">
        <v>30</v>
      </c>
      <c r="H25" s="11"/>
      <c r="I25" s="11"/>
      <c r="J25" s="11">
        <v>40</v>
      </c>
      <c r="K25" s="11"/>
    </row>
    <row r="26" spans="2:11" ht="15" customHeight="1" x14ac:dyDescent="0.3">
      <c r="B26" s="11" t="s">
        <v>387</v>
      </c>
      <c r="C26" s="11"/>
      <c r="D26" s="11">
        <v>10</v>
      </c>
      <c r="E26" s="11"/>
      <c r="F26" s="11"/>
      <c r="G26" s="11"/>
      <c r="H26" s="11"/>
      <c r="I26" s="11"/>
      <c r="J26" s="11"/>
      <c r="K26" s="11"/>
    </row>
    <row r="27" spans="2:11" ht="15" customHeight="1" x14ac:dyDescent="0.3">
      <c r="B27" s="11" t="s">
        <v>388</v>
      </c>
      <c r="C27" s="21"/>
      <c r="D27" s="21"/>
      <c r="E27" s="21"/>
      <c r="F27" s="21"/>
      <c r="G27" s="21"/>
      <c r="H27" s="21"/>
      <c r="I27" s="21"/>
      <c r="J27" s="21"/>
      <c r="K27" s="21"/>
    </row>
    <row r="28" spans="2:11" ht="15" customHeight="1" x14ac:dyDescent="0.3">
      <c r="B28" s="11" t="s">
        <v>389</v>
      </c>
      <c r="C28" s="11"/>
      <c r="D28" s="11"/>
      <c r="E28" s="11"/>
      <c r="F28" s="11"/>
      <c r="G28" s="11">
        <v>30</v>
      </c>
      <c r="H28" s="11"/>
      <c r="I28" s="11"/>
      <c r="J28" s="11">
        <v>40</v>
      </c>
      <c r="K28" s="11"/>
    </row>
    <row r="29" spans="2:11" ht="15" customHeight="1" x14ac:dyDescent="0.3">
      <c r="B29" s="11" t="s">
        <v>390</v>
      </c>
      <c r="C29" s="11"/>
      <c r="D29" s="11"/>
      <c r="E29" s="11"/>
      <c r="F29" s="11"/>
      <c r="G29" s="11">
        <v>30</v>
      </c>
      <c r="H29" s="11"/>
      <c r="I29" s="11"/>
      <c r="J29" s="11">
        <v>40</v>
      </c>
      <c r="K29" s="11"/>
    </row>
    <row r="30" spans="2:11" ht="15" customHeight="1" x14ac:dyDescent="0.3">
      <c r="B30" s="11" t="s">
        <v>391</v>
      </c>
      <c r="C30" s="11"/>
      <c r="D30" s="11"/>
      <c r="E30" s="11"/>
      <c r="F30" s="28">
        <v>30</v>
      </c>
      <c r="G30" s="11"/>
      <c r="H30" s="11"/>
      <c r="I30" s="28">
        <v>40</v>
      </c>
      <c r="J30" s="11"/>
      <c r="K30" s="11"/>
    </row>
    <row r="32" spans="2:11" ht="15" customHeight="1" x14ac:dyDescent="0.3">
      <c r="B32" s="2" t="s">
        <v>393</v>
      </c>
      <c r="C32" s="4" t="s">
        <v>373</v>
      </c>
      <c r="D32" s="4" t="s">
        <v>394</v>
      </c>
    </row>
    <row r="33" spans="2:11" ht="26.25" customHeight="1" x14ac:dyDescent="0.3">
      <c r="B33" s="10"/>
      <c r="C33" s="10" t="s">
        <v>376</v>
      </c>
      <c r="D33" s="10" t="s">
        <v>377</v>
      </c>
      <c r="E33" s="10" t="s">
        <v>378</v>
      </c>
      <c r="F33" s="10" t="s">
        <v>379</v>
      </c>
      <c r="G33" s="10" t="s">
        <v>380</v>
      </c>
      <c r="H33" s="10" t="s">
        <v>381</v>
      </c>
      <c r="I33" s="10" t="s">
        <v>382</v>
      </c>
      <c r="J33" s="10" t="s">
        <v>383</v>
      </c>
      <c r="K33" s="10" t="s">
        <v>384</v>
      </c>
    </row>
    <row r="34" spans="2:11" ht="15" customHeight="1" x14ac:dyDescent="0.3">
      <c r="B34" s="11" t="s">
        <v>386</v>
      </c>
      <c r="C34" s="11">
        <v>10</v>
      </c>
      <c r="D34" s="11">
        <v>20</v>
      </c>
      <c r="E34" s="11"/>
      <c r="F34" s="11"/>
      <c r="G34" s="11">
        <v>60</v>
      </c>
      <c r="H34" s="11"/>
      <c r="I34" s="11"/>
      <c r="J34" s="11">
        <v>80</v>
      </c>
      <c r="K34" s="11"/>
    </row>
    <row r="35" spans="2:11" ht="15" customHeight="1" x14ac:dyDescent="0.3">
      <c r="B35" s="11" t="s">
        <v>387</v>
      </c>
      <c r="C35" s="11"/>
      <c r="D35" s="11">
        <v>50</v>
      </c>
      <c r="E35" s="11"/>
      <c r="F35" s="11"/>
      <c r="G35" s="11"/>
      <c r="H35" s="11"/>
      <c r="I35" s="11"/>
      <c r="J35" s="11"/>
      <c r="K35" s="11"/>
    </row>
    <row r="36" spans="2:11" ht="15" customHeight="1" x14ac:dyDescent="0.3">
      <c r="B36" s="11" t="s">
        <v>388</v>
      </c>
      <c r="C36" s="21">
        <v>10</v>
      </c>
      <c r="D36" s="21">
        <v>40</v>
      </c>
      <c r="E36" s="21">
        <v>40</v>
      </c>
      <c r="F36" s="21">
        <v>40</v>
      </c>
      <c r="G36" s="21">
        <v>30</v>
      </c>
      <c r="H36" s="21">
        <v>30</v>
      </c>
      <c r="I36" s="21">
        <v>30</v>
      </c>
      <c r="J36" s="21"/>
      <c r="K36" s="21"/>
    </row>
    <row r="37" spans="2:11" ht="15" customHeight="1" x14ac:dyDescent="0.3">
      <c r="B37" s="11" t="s">
        <v>389</v>
      </c>
      <c r="C37" s="11"/>
      <c r="D37" s="11"/>
      <c r="E37" s="11"/>
      <c r="F37" s="11"/>
      <c r="G37" s="11">
        <v>20</v>
      </c>
      <c r="H37" s="11"/>
      <c r="I37" s="11"/>
      <c r="J37" s="11">
        <v>50</v>
      </c>
      <c r="K37" s="11"/>
    </row>
    <row r="38" spans="2:11" ht="15" customHeight="1" x14ac:dyDescent="0.3">
      <c r="B38" s="11" t="s">
        <v>390</v>
      </c>
      <c r="C38" s="11"/>
      <c r="D38" s="11"/>
      <c r="E38" s="11"/>
      <c r="F38" s="11"/>
      <c r="G38" s="11">
        <v>50</v>
      </c>
      <c r="H38" s="11"/>
      <c r="I38" s="11"/>
      <c r="J38" s="11">
        <v>50</v>
      </c>
      <c r="K38" s="11"/>
    </row>
    <row r="39" spans="2:11" ht="15" customHeight="1" x14ac:dyDescent="0.3">
      <c r="B39" s="11" t="s">
        <v>391</v>
      </c>
      <c r="C39" s="11"/>
      <c r="D39" s="11"/>
      <c r="E39" s="11"/>
      <c r="F39" s="28">
        <v>50</v>
      </c>
      <c r="G39" s="11"/>
      <c r="H39" s="11"/>
      <c r="I39" s="28">
        <v>50</v>
      </c>
      <c r="J39" s="11"/>
      <c r="K39" s="11"/>
    </row>
    <row r="41" spans="2:11" ht="15" customHeight="1" x14ac:dyDescent="0.3">
      <c r="B41" s="2" t="s">
        <v>395</v>
      </c>
      <c r="C41" s="4" t="s">
        <v>396</v>
      </c>
      <c r="D41" s="4" t="s">
        <v>397</v>
      </c>
    </row>
    <row r="42" spans="2:11" ht="26.25" customHeight="1" x14ac:dyDescent="0.3">
      <c r="B42" s="10"/>
      <c r="C42" s="10" t="s">
        <v>376</v>
      </c>
      <c r="D42" s="10" t="s">
        <v>377</v>
      </c>
      <c r="E42" s="10" t="s">
        <v>378</v>
      </c>
      <c r="F42" s="10" t="s">
        <v>379</v>
      </c>
      <c r="G42" s="10" t="s">
        <v>380</v>
      </c>
      <c r="H42" s="10" t="s">
        <v>381</v>
      </c>
      <c r="I42" s="10" t="s">
        <v>382</v>
      </c>
      <c r="J42" s="10" t="s">
        <v>383</v>
      </c>
      <c r="K42" s="10" t="s">
        <v>384</v>
      </c>
    </row>
    <row r="43" spans="2:11" ht="15" customHeight="1" x14ac:dyDescent="0.3">
      <c r="B43" s="11" t="s">
        <v>386</v>
      </c>
      <c r="C43" s="11">
        <v>20</v>
      </c>
      <c r="D43" s="11">
        <v>10</v>
      </c>
      <c r="E43" s="11"/>
      <c r="F43" s="11">
        <v>100</v>
      </c>
      <c r="G43" s="11">
        <v>30</v>
      </c>
      <c r="H43" s="11"/>
      <c r="I43" s="11">
        <v>100</v>
      </c>
      <c r="J43" s="11">
        <v>40</v>
      </c>
      <c r="K43" s="11"/>
    </row>
    <row r="44" spans="2:11" ht="15" customHeight="1" x14ac:dyDescent="0.3">
      <c r="B44" s="11" t="s">
        <v>387</v>
      </c>
      <c r="C44" s="11"/>
      <c r="D44" s="11"/>
      <c r="E44" s="11"/>
      <c r="F44" s="11"/>
      <c r="G44" s="11"/>
      <c r="H44" s="11"/>
      <c r="I44" s="11"/>
      <c r="J44" s="11"/>
      <c r="K44" s="11"/>
    </row>
    <row r="45" spans="2:11" ht="15" customHeight="1" x14ac:dyDescent="0.3">
      <c r="B45" s="11" t="s">
        <v>388</v>
      </c>
      <c r="C45" s="21">
        <v>20</v>
      </c>
      <c r="D45" s="21">
        <v>10</v>
      </c>
      <c r="E45" s="21">
        <v>10</v>
      </c>
      <c r="F45" s="21">
        <v>10</v>
      </c>
      <c r="G45" s="21">
        <v>80</v>
      </c>
      <c r="H45" s="21">
        <v>80</v>
      </c>
      <c r="I45" s="21">
        <v>80</v>
      </c>
      <c r="J45" s="21">
        <v>40</v>
      </c>
      <c r="K45" s="21"/>
    </row>
    <row r="46" spans="2:11" ht="15" customHeight="1" x14ac:dyDescent="0.3">
      <c r="B46" s="11" t="s">
        <v>389</v>
      </c>
      <c r="C46" s="11"/>
      <c r="D46" s="11"/>
      <c r="E46" s="11"/>
      <c r="F46" s="11">
        <v>90</v>
      </c>
      <c r="G46" s="11">
        <v>20</v>
      </c>
      <c r="H46" s="11"/>
      <c r="I46" s="11">
        <v>20</v>
      </c>
      <c r="J46" s="11"/>
      <c r="K46" s="11"/>
    </row>
    <row r="47" spans="2:11" ht="15" customHeight="1" x14ac:dyDescent="0.3">
      <c r="B47" s="11" t="s">
        <v>390</v>
      </c>
      <c r="C47" s="11"/>
      <c r="D47" s="11"/>
      <c r="E47" s="11"/>
      <c r="F47" s="11">
        <v>100</v>
      </c>
      <c r="G47" s="11">
        <v>100</v>
      </c>
      <c r="H47" s="11"/>
      <c r="I47" s="11">
        <v>100</v>
      </c>
      <c r="J47" s="11"/>
      <c r="K47" s="11"/>
    </row>
    <row r="48" spans="2:11" ht="15" customHeight="1" x14ac:dyDescent="0.3">
      <c r="B48" s="11" t="s">
        <v>391</v>
      </c>
      <c r="C48" s="11"/>
      <c r="D48" s="28">
        <v>100</v>
      </c>
      <c r="E48" s="28">
        <v>100</v>
      </c>
      <c r="F48" s="11"/>
      <c r="G48" s="28">
        <v>100</v>
      </c>
      <c r="H48" s="11"/>
      <c r="I48" s="11"/>
      <c r="J48" s="11"/>
      <c r="K48" s="11"/>
    </row>
    <row r="50" spans="2:11" ht="15" customHeight="1" x14ac:dyDescent="0.3">
      <c r="B50" s="2" t="s">
        <v>398</v>
      </c>
      <c r="C50" s="4" t="s">
        <v>396</v>
      </c>
      <c r="D50" s="4" t="s">
        <v>399</v>
      </c>
    </row>
    <row r="51" spans="2:11" ht="26.25" customHeight="1" x14ac:dyDescent="0.3">
      <c r="B51" s="10"/>
      <c r="C51" s="10" t="s">
        <v>376</v>
      </c>
      <c r="D51" s="10" t="s">
        <v>377</v>
      </c>
      <c r="E51" s="10" t="s">
        <v>378</v>
      </c>
      <c r="F51" s="10" t="s">
        <v>379</v>
      </c>
      <c r="G51" s="10" t="s">
        <v>380</v>
      </c>
      <c r="H51" s="10" t="s">
        <v>381</v>
      </c>
      <c r="I51" s="10" t="s">
        <v>382</v>
      </c>
      <c r="J51" s="10" t="s">
        <v>383</v>
      </c>
      <c r="K51" s="10" t="s">
        <v>384</v>
      </c>
    </row>
    <row r="52" spans="2:11" ht="15" customHeight="1" x14ac:dyDescent="0.3">
      <c r="B52" s="11" t="s">
        <v>386</v>
      </c>
      <c r="C52" s="11">
        <v>10</v>
      </c>
      <c r="D52" s="11"/>
      <c r="E52" s="11"/>
      <c r="F52" s="11">
        <v>150</v>
      </c>
      <c r="G52" s="11"/>
      <c r="H52" s="11"/>
      <c r="I52" s="11">
        <v>150</v>
      </c>
      <c r="J52" s="11"/>
      <c r="K52" s="11"/>
    </row>
    <row r="53" spans="2:11" ht="15" customHeight="1" x14ac:dyDescent="0.3">
      <c r="B53" s="11" t="s">
        <v>387</v>
      </c>
      <c r="C53" s="11"/>
      <c r="D53" s="11"/>
      <c r="E53" s="11"/>
      <c r="F53" s="11"/>
      <c r="G53" s="11"/>
      <c r="H53" s="11"/>
      <c r="I53" s="11"/>
      <c r="J53" s="11"/>
      <c r="K53" s="11"/>
    </row>
    <row r="54" spans="2:11" ht="15" customHeight="1" x14ac:dyDescent="0.3">
      <c r="B54" s="11" t="s">
        <v>388</v>
      </c>
      <c r="C54" s="21">
        <v>10</v>
      </c>
      <c r="D54" s="21">
        <v>10</v>
      </c>
      <c r="E54" s="21">
        <v>10</v>
      </c>
      <c r="F54" s="21">
        <v>10</v>
      </c>
      <c r="G54" s="21">
        <v>10</v>
      </c>
      <c r="H54" s="21">
        <v>10</v>
      </c>
      <c r="I54" s="21">
        <v>10</v>
      </c>
      <c r="J54" s="21"/>
      <c r="K54" s="21"/>
    </row>
    <row r="55" spans="2:11" ht="15" customHeight="1" x14ac:dyDescent="0.3">
      <c r="B55" s="11" t="s">
        <v>389</v>
      </c>
      <c r="C55" s="11"/>
      <c r="D55" s="11"/>
      <c r="E55" s="11"/>
      <c r="F55" s="11">
        <v>140</v>
      </c>
      <c r="G55" s="11"/>
      <c r="H55" s="11"/>
      <c r="I55" s="11">
        <v>140</v>
      </c>
      <c r="J55" s="11"/>
      <c r="K55" s="11"/>
    </row>
    <row r="56" spans="2:11" ht="15" customHeight="1" x14ac:dyDescent="0.3">
      <c r="B56" s="11" t="s">
        <v>390</v>
      </c>
      <c r="C56" s="11"/>
      <c r="D56" s="11"/>
      <c r="E56" s="11"/>
      <c r="F56" s="11">
        <v>150</v>
      </c>
      <c r="G56" s="11"/>
      <c r="H56" s="11"/>
      <c r="I56" s="11">
        <v>150</v>
      </c>
      <c r="J56" s="11"/>
      <c r="K56" s="11"/>
    </row>
    <row r="57" spans="2:11" ht="15" customHeight="1" x14ac:dyDescent="0.3">
      <c r="B57" s="11" t="s">
        <v>391</v>
      </c>
      <c r="C57" s="11"/>
      <c r="D57" s="28">
        <v>150</v>
      </c>
      <c r="E57" s="11"/>
      <c r="F57" s="11"/>
      <c r="G57" s="28">
        <v>150</v>
      </c>
      <c r="H57" s="11"/>
      <c r="I57" s="11"/>
      <c r="J57" s="11"/>
      <c r="K57" s="11"/>
    </row>
    <row r="59" spans="2:11" ht="15" customHeight="1" x14ac:dyDescent="0.3">
      <c r="B59" s="41" t="s">
        <v>400</v>
      </c>
    </row>
    <row r="60" spans="2:11" ht="15" customHeight="1" x14ac:dyDescent="0.3">
      <c r="B60" s="3" t="s">
        <v>401</v>
      </c>
      <c r="C60" s="42" t="s">
        <v>402</v>
      </c>
    </row>
    <row r="61" spans="2:11" ht="15" customHeight="1" x14ac:dyDescent="0.3">
      <c r="B61" s="3" t="s">
        <v>403</v>
      </c>
      <c r="C61" s="42" t="s">
        <v>404</v>
      </c>
    </row>
    <row r="62" spans="2:11" ht="15" customHeight="1" x14ac:dyDescent="0.3">
      <c r="B62" s="3" t="s">
        <v>405</v>
      </c>
      <c r="C62" s="42" t="s">
        <v>406</v>
      </c>
    </row>
    <row r="63" spans="2:11" ht="15" customHeight="1" x14ac:dyDescent="0.3">
      <c r="B63" s="3" t="s">
        <v>407</v>
      </c>
      <c r="C63" s="42" t="s">
        <v>408</v>
      </c>
    </row>
    <row r="64" spans="2:11" ht="15" customHeight="1" x14ac:dyDescent="0.3">
      <c r="B64" s="3" t="s">
        <v>409</v>
      </c>
      <c r="C64" s="42" t="s">
        <v>410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Forecasting_SMA</vt:lpstr>
      <vt:lpstr>Forecasting_WMA</vt:lpstr>
      <vt:lpstr>Forecasting_ExpSmooth</vt:lpstr>
      <vt:lpstr>Forecasting_Regression</vt:lpstr>
      <vt:lpstr>Forecasting_Error</vt:lpstr>
      <vt:lpstr>SOP_ProdRequirement</vt:lpstr>
      <vt:lpstr>SOP_ChaseStrategy</vt:lpstr>
      <vt:lpstr>SOP_LevelStrategy</vt:lpstr>
      <vt:lpstr>SOP_Subcontract</vt:lpstr>
      <vt:lpstr>Inventory_EOQ</vt:lpstr>
      <vt:lpstr>Inventory_SafetyStock</vt:lpstr>
      <vt:lpstr>Inventory_PModel</vt:lpstr>
      <vt:lpstr>Inventory_PriceBreak</vt:lpstr>
      <vt:lpstr>Inventory_SinglePeriod</vt:lpstr>
      <vt:lpstr>MRP_Solution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2026-02-17T20:34:02Z</dcterms:created>
  <dcterms:modified xsi:type="dcterms:W3CDTF">2026-02-18T01:32:33Z</dcterms:modified>
  <dc:language>en-US</dc:language>
</cp:coreProperties>
</file>